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tabRatio="937" firstSheet="10" activeTab="17"/>
  </bookViews>
  <sheets>
    <sheet name="FORMULARIO 2017" sheetId="1" r:id="rId1"/>
    <sheet name="INFORMACION" sheetId="2" r:id="rId2"/>
    <sheet name="ANEXO 1" sheetId="3" r:id="rId3"/>
    <sheet name="ANEXO 2" sheetId="4" r:id="rId4"/>
    <sheet name="ANEXO 3" sheetId="5" r:id="rId5"/>
    <sheet name="ANEXO 4" sheetId="6" r:id="rId6"/>
    <sheet name="ANEXO 5" sheetId="7" r:id="rId7"/>
    <sheet name="ANEXO 6" sheetId="8" r:id="rId8"/>
    <sheet name="ANEXO 7" sheetId="9" r:id="rId9"/>
    <sheet name="ANEXO 8" sheetId="10" r:id="rId10"/>
    <sheet name="ANEXO 9" sheetId="11" r:id="rId11"/>
    <sheet name="ANEXO 10" sheetId="12" r:id="rId12"/>
    <sheet name="ANEXO 11" sheetId="13" r:id="rId13"/>
    <sheet name="ANEXO 12" sheetId="14" r:id="rId14"/>
    <sheet name="ANEXO 13" sheetId="15" r:id="rId15"/>
    <sheet name="ANEXO 14" sheetId="16" r:id="rId16"/>
    <sheet name="ANEXO 15" sheetId="17" r:id="rId17"/>
    <sheet name="Presuntiva" sheetId="18" r:id="rId18"/>
    <sheet name="INDICE" sheetId="19" r:id="rId19"/>
  </sheets>
  <externalReferences>
    <externalReference r:id="rId22"/>
  </externalReferences>
  <definedNames>
    <definedName name="_xlfn.IFERROR" hidden="1">#NAME?</definedName>
    <definedName name="_xlnm.Print_Area" localSheetId="0">'FORMULARIO 2017'!$A$1:$AK$57</definedName>
  </definedNames>
  <calcPr fullCalcOnLoad="1"/>
</workbook>
</file>

<file path=xl/comments1.xml><?xml version="1.0" encoding="utf-8"?>
<comments xmlns="http://schemas.openxmlformats.org/spreadsheetml/2006/main">
  <authors>
    <author>RAMIRO BERNAL</author>
  </authors>
  <commentList>
    <comment ref="AB52" authorId="0">
      <text>
        <r>
          <rPr>
            <sz val="8"/>
            <rFont val="Tahoma"/>
            <family val="2"/>
          </rPr>
          <t>Sume renglones 70 a 72</t>
        </r>
      </text>
    </comment>
  </commentList>
</comments>
</file>

<file path=xl/comments4.xml><?xml version="1.0" encoding="utf-8"?>
<comments xmlns="http://schemas.openxmlformats.org/spreadsheetml/2006/main">
  <authors>
    <author>user</author>
  </authors>
  <commentList>
    <comment ref="F11" authorId="0">
      <text>
        <r>
          <rPr>
            <b/>
            <sz val="9"/>
            <rFont val="Tahoma"/>
            <family val="0"/>
          </rPr>
          <t>user:</t>
        </r>
        <r>
          <rPr>
            <sz val="9"/>
            <rFont val="Tahoma"/>
            <family val="0"/>
          </rPr>
          <t xml:space="preserve">
Fecha de compra (posterior al 2015) o TRM a diciembre 31 de 2014</t>
        </r>
      </text>
    </comment>
  </commentList>
</comments>
</file>

<file path=xl/sharedStrings.xml><?xml version="1.0" encoding="utf-8"?>
<sst xmlns="http://schemas.openxmlformats.org/spreadsheetml/2006/main" count="850" uniqueCount="648">
  <si>
    <t>210</t>
  </si>
  <si>
    <t>1. Año</t>
  </si>
  <si>
    <t>5.Número de Identificación Tributaria (NIT):</t>
  </si>
  <si>
    <t>6. DV</t>
  </si>
  <si>
    <t>Patrimonio</t>
  </si>
  <si>
    <t>Total patrimonio bruto</t>
  </si>
  <si>
    <t>Deudas</t>
  </si>
  <si>
    <t>Renta</t>
  </si>
  <si>
    <t>Sanciones</t>
  </si>
  <si>
    <t>7. Primer Apellido</t>
  </si>
  <si>
    <t>8. Segundo Apellido</t>
  </si>
  <si>
    <t>9. Primer Nombre</t>
  </si>
  <si>
    <t xml:space="preserve"> 981. Cód. Representación</t>
  </si>
  <si>
    <t>TITULOS</t>
  </si>
  <si>
    <t>Cantidad</t>
  </si>
  <si>
    <t>Valor Nominal</t>
  </si>
  <si>
    <t>RETIROS</t>
  </si>
  <si>
    <t>COP$</t>
  </si>
  <si>
    <t>USD$</t>
  </si>
  <si>
    <t>TRM</t>
  </si>
  <si>
    <t>INVERSIONES:</t>
  </si>
  <si>
    <t>BANCOS:</t>
  </si>
  <si>
    <t>CAJA:</t>
  </si>
  <si>
    <t>ACTIVOS FIJOS</t>
  </si>
  <si>
    <t>TERRENOS</t>
  </si>
  <si>
    <t>CASA O APARTAMENTO</t>
  </si>
  <si>
    <t>FINCAS</t>
  </si>
  <si>
    <t>VEHICULOS</t>
  </si>
  <si>
    <t>MUEBLES Y ENSERES</t>
  </si>
  <si>
    <t>OTROS ACTIVOS</t>
  </si>
  <si>
    <t>TOTAL</t>
  </si>
  <si>
    <t>FECHA DE ADQUISICION</t>
  </si>
  <si>
    <t>AUTOAVALUO</t>
  </si>
  <si>
    <t>COSTO FISCAL</t>
  </si>
  <si>
    <t>VALOR COMERCIAL</t>
  </si>
  <si>
    <t>ADICIONES</t>
  </si>
  <si>
    <t>DEUDORES</t>
  </si>
  <si>
    <t>FECHA DE VENCIMIENTO</t>
  </si>
  <si>
    <t>INTERESES</t>
  </si>
  <si>
    <t>PASIVO</t>
  </si>
  <si>
    <t>GRAVADOS</t>
  </si>
  <si>
    <t>NO GRAVADOS</t>
  </si>
  <si>
    <t>TOTAL INGRESOS</t>
  </si>
  <si>
    <t>INGRESOS NO CONSTITUTIVOS</t>
  </si>
  <si>
    <t>EXENTOS</t>
  </si>
  <si>
    <t>DETALLE</t>
  </si>
  <si>
    <t>GANANCIAS OCASIONALES</t>
  </si>
  <si>
    <t>VALOR DECLARADO</t>
  </si>
  <si>
    <t>RENTA  PRESUNTIVA</t>
  </si>
  <si>
    <t>CONCEPTO</t>
  </si>
  <si>
    <t>%</t>
  </si>
  <si>
    <t>VALOR</t>
  </si>
  <si>
    <t>Menos:</t>
  </si>
  <si>
    <t xml:space="preserve">Valor Patrimonial Neto de los aporte y acciones </t>
  </si>
  <si>
    <t>Valor Patrimonial Neto causado por hechos de fuerza mayor</t>
  </si>
  <si>
    <t>Valor Patrimonial Neto de empresas en período improductivo</t>
  </si>
  <si>
    <t>Patrimonio Neto Excluido</t>
  </si>
  <si>
    <t>Patrimonio Líquido Base</t>
  </si>
  <si>
    <t>Porcentaje</t>
  </si>
  <si>
    <t>Renta Presuntiva</t>
  </si>
  <si>
    <t>ANTICIPO</t>
  </si>
  <si>
    <t>FISCAL</t>
  </si>
  <si>
    <t>OPCION 1</t>
  </si>
  <si>
    <t>RETENCION EN LA FTE PRACTICADA</t>
  </si>
  <si>
    <t xml:space="preserve">ANTICIPO </t>
  </si>
  <si>
    <t>OPCION 2</t>
  </si>
  <si>
    <t>PROMEDIO</t>
  </si>
  <si>
    <t>SIN VALORIZACIONES</t>
  </si>
  <si>
    <t>UNIT.</t>
  </si>
  <si>
    <t>CON VALORIZACIONES</t>
  </si>
  <si>
    <t>PROPIEDAD PLANTA Y EQUIPO</t>
  </si>
  <si>
    <t>PATRIMONIO BRUTO</t>
  </si>
  <si>
    <t>NIT</t>
  </si>
  <si>
    <t>DV</t>
  </si>
  <si>
    <t>AUMENTO (DISMINUCION)</t>
  </si>
  <si>
    <t>Datos del Declarante</t>
  </si>
  <si>
    <t>24. Actividad Económica</t>
  </si>
  <si>
    <t>Renta presuntiva</t>
  </si>
  <si>
    <t>Privada</t>
  </si>
  <si>
    <t>AJUSTE FISCAL</t>
  </si>
  <si>
    <t>Los primeros 19.000 UVT de los activos destinados al sector agropecuario</t>
  </si>
  <si>
    <t>RENTAS GRAVABLES</t>
  </si>
  <si>
    <t>ACTIVOS OMITIDOS</t>
  </si>
  <si>
    <t>AÑO</t>
  </si>
  <si>
    <t>PASIVOS INEXISTENTES</t>
  </si>
  <si>
    <t>10.Otros Nombres</t>
  </si>
  <si>
    <t xml:space="preserve"> Firma del Declarante o de quien lo Representante: </t>
  </si>
  <si>
    <t>12. Cód dirección seccional</t>
  </si>
  <si>
    <t xml:space="preserve">       4. Número de formulario      </t>
  </si>
  <si>
    <t xml:space="preserve">997. Espacio exclusivo para el sello de la Entidad Recaudadora                            </t>
  </si>
  <si>
    <t xml:space="preserve">Si es una correccion indique:    </t>
  </si>
  <si>
    <t>25. Cód</t>
  </si>
  <si>
    <t>26. No. Formulario anterior</t>
  </si>
  <si>
    <t xml:space="preserve"> 980. Pago Total </t>
  </si>
  <si>
    <t>Descuentos</t>
  </si>
  <si>
    <t>Otros</t>
  </si>
  <si>
    <t>Liquidación privada</t>
  </si>
  <si>
    <t>105. No. Identificación dependiente</t>
  </si>
  <si>
    <t xml:space="preserve">996. Espacio para el numero interno de la DIAN /adhesivo                                                                                                    </t>
  </si>
  <si>
    <t>GASTOS DE REPRESENT.</t>
  </si>
  <si>
    <t>DEDUCCIONES</t>
  </si>
  <si>
    <t>RENTAS EXENTAS</t>
  </si>
  <si>
    <t>Costos por ganancias ocasionales</t>
  </si>
  <si>
    <t>Impuesto de ganancias ocasionales</t>
  </si>
  <si>
    <t>27. Fracción año gravable 2018 (Marque "X")</t>
  </si>
  <si>
    <t>28 Si es beneficiario de un convenio  para evitar la doble tributación (Marque "X")</t>
  </si>
  <si>
    <t>Ingresos brutos por rentas de trabajo (Art. 103 E:T:)</t>
  </si>
  <si>
    <t>Ingresos no constitutivos de renta</t>
  </si>
  <si>
    <t>Renta Liquida (32 - 33)</t>
  </si>
  <si>
    <t>Rentas exentas de trabajo y deducciones imputables</t>
  </si>
  <si>
    <t>Rentas exentas de trabajo y deducciones imputables (limitadas)</t>
  </si>
  <si>
    <t>Renta liquida cedular de trabajo (34 - 36)</t>
  </si>
  <si>
    <t>Rentas de trabajo</t>
  </si>
  <si>
    <t>Ingresos brutos por rentas de pensiones del pais y del exterior</t>
  </si>
  <si>
    <t>Renta liquida (38 - 39)</t>
  </si>
  <si>
    <t>Rentas exentas de pensiones</t>
  </si>
  <si>
    <t>Rentas de pensiones</t>
  </si>
  <si>
    <t>Renta liquida cedular de pensiones (40 - 41)</t>
  </si>
  <si>
    <t>Ingresos brutos rentas de capital</t>
  </si>
  <si>
    <t>Costos y gastos procedentes</t>
  </si>
  <si>
    <t>Renta liquida (43 - 44 - 45)</t>
  </si>
  <si>
    <t>Rentas exentas y deducciones imputables a las rentas de capital</t>
  </si>
  <si>
    <t>Rentas exentas de capital y deducciones imputables (limitadas)</t>
  </si>
  <si>
    <t>Perdida liquida del ejercicio (44 + 45 +49 - 43 - 47), si el resultado es negativo, escriba cero (0)</t>
  </si>
  <si>
    <t>Compensaciones por perdidas de ejercicios anteriores</t>
  </si>
  <si>
    <t>Renta liquida cedular de capital (50 - 52); si 50 es igual a cero (0); 53 es igual a cero (0)</t>
  </si>
  <si>
    <t>Rentas de capital</t>
  </si>
  <si>
    <t>Devoluciones, rebajas y descuentos</t>
  </si>
  <si>
    <t>Renta liquida (54 - 55 - 56 - 57)</t>
  </si>
  <si>
    <t>Renta liquida ordinaria del ejercicio (43 + 47- 44 - 45 - 49). Si el resultado es negativo, escriba cero (0)</t>
  </si>
  <si>
    <t>Rentas exentas y deducciones imputables a las rentas no laborales</t>
  </si>
  <si>
    <t>Renta liquida ordinaria del ejercicio (54 + 59- 55 - 56 - 57- 61). Si el resultado es negativo, escriba cero (0)</t>
  </si>
  <si>
    <t>Perdida liquida del ejercicio (55 + 56 + 57 + 61 - 54 - 59), si el resultado es negativo, escriba cero (0)</t>
  </si>
  <si>
    <t>Compensaciones</t>
  </si>
  <si>
    <t>Rentas liquidas gravables no laborales</t>
  </si>
  <si>
    <t>Rentas no laborales</t>
  </si>
  <si>
    <t>Renta liquida ordinaria 2016 y anteriores (67 - 68)</t>
  </si>
  <si>
    <t>1a subcedula año 2017 y siguientes númeral 3 Art.49 E.T.</t>
  </si>
  <si>
    <t>2a subcedula año 2017 y siguientes paragrafo 2 Art. 49 E.T.</t>
  </si>
  <si>
    <t>Rentas liquidas gravables de dividendos y participaciones (69 + 70 + 71 + 72 - 73)</t>
  </si>
  <si>
    <t>Rentas por dividendos y participaciones</t>
  </si>
  <si>
    <t>Total rentas liquidas cedulares (sume 37 + 42 + 53 + 66 + 74)</t>
  </si>
  <si>
    <t>Ingresos por ganancias ocasionales del pais y del exterior</t>
  </si>
  <si>
    <t>Ganancias ocasionales no gravadas y exentas</t>
  </si>
  <si>
    <t>Ganancias ocasionales gravables (77 - 78 - 79)</t>
  </si>
  <si>
    <t>Ganancia ocasional</t>
  </si>
  <si>
    <t>Impuesto sobre las rentas liquidas cedulares</t>
  </si>
  <si>
    <t>Total impuesto sobre las rentas liquidas cedulares (sume 81 a 85)</t>
  </si>
  <si>
    <t>Impuestos sobre la renta presuntiva</t>
  </si>
  <si>
    <t>Total impuesto sobre la renta liquida</t>
  </si>
  <si>
    <t>Impuestos pagados en el exterior</t>
  </si>
  <si>
    <t>Donaciones</t>
  </si>
  <si>
    <t>Total descuentos tributarios (sume 89 a 91)</t>
  </si>
  <si>
    <t>Impuesto neto de renta (88 - 92)</t>
  </si>
  <si>
    <t>Descuento por impuestos pagados en el exterior por ganancias ocasionales</t>
  </si>
  <si>
    <t>Total impuesto a cargo (93 + 94 - 95)</t>
  </si>
  <si>
    <t>Anticipo renta liquidado año gravable anterior</t>
  </si>
  <si>
    <t>Saldo a favor del año gravable anterior sin solicitud de devolución y/o compensación</t>
  </si>
  <si>
    <t>Retenciones año gravable a declarar</t>
  </si>
  <si>
    <t>Anticipo de renta para el año gravable siguiente</t>
  </si>
  <si>
    <t>Saldo a pagar por impuesto (96 + 100 - 97 - 98 - 99)</t>
  </si>
  <si>
    <t>Total saldo a pagar (96 + 100 + 102 - 97 - 98 - 99)</t>
  </si>
  <si>
    <t>Total saldo a favor (97 + 98 + 99 - 96 -100 - 102)</t>
  </si>
  <si>
    <t xml:space="preserve">106 DV </t>
  </si>
  <si>
    <t xml:space="preserve">107. No. De identificación del dependiente </t>
  </si>
  <si>
    <t>108. Parentesco</t>
  </si>
  <si>
    <t>Declaración de Renta y Complementarios Personas Naturales y Asimiladas de Residentes y Sucesiones Iliquidas de Causantes Residentes</t>
  </si>
  <si>
    <t>INFORMACION ADICIONAL:</t>
  </si>
  <si>
    <t>Inversión en sociedad H.G.X. Ltda</t>
  </si>
  <si>
    <t>13</t>
  </si>
  <si>
    <t>15</t>
  </si>
  <si>
    <t>CEDULA 1</t>
  </si>
  <si>
    <t>Año Gravable 2017</t>
  </si>
  <si>
    <t>Viáticos</t>
  </si>
  <si>
    <t>Gastos de Representación</t>
  </si>
  <si>
    <t>Vacaciones</t>
  </si>
  <si>
    <t>SALARIOS Y DEMAS PAGOS LABORALES Art. 103 E.T.</t>
  </si>
  <si>
    <t xml:space="preserve">Prima de Servicios </t>
  </si>
  <si>
    <t>Compensaciones de trabajo (Cooperativas de trabajo asociado)</t>
  </si>
  <si>
    <t xml:space="preserve">Bonos de alimentación </t>
  </si>
  <si>
    <t>Salarios o emolumentos ecleciasticos</t>
  </si>
  <si>
    <t>Intereses sobre Cesantias (efectivamente pagados)</t>
  </si>
  <si>
    <t>Total Ingresos Laborales</t>
  </si>
  <si>
    <t xml:space="preserve">Total Otros Ingresos </t>
  </si>
  <si>
    <t xml:space="preserve">OTROS INGRESOS </t>
  </si>
  <si>
    <t>Total ingresos brutos</t>
  </si>
  <si>
    <t>Honorarios (menos de 2 trabajadores y/o contratistas)</t>
  </si>
  <si>
    <t>Otros ingresos  recibidos en relación laboral</t>
  </si>
  <si>
    <t>Comisiones (menos de 2 trabajdores y/o contratistas)</t>
  </si>
  <si>
    <t>Servicios (menos de 2 trabajdores y/o contratistas)</t>
  </si>
  <si>
    <t>Ingresos no Constitutivos de Renta</t>
  </si>
  <si>
    <t>Aportes obligatorios de pensión Art. 55 E.T.</t>
  </si>
  <si>
    <t>Aportes Obligatorios al Sistema de Salud Art. 56 E.T.</t>
  </si>
  <si>
    <t>Apoyos económicos no reembolsables o condonados, entregados por el Estado o financiados con recursos publicos, para programas educativos Art. 46 E.T.</t>
  </si>
  <si>
    <t>Total Ingresos no Constitutivos de Renta</t>
  </si>
  <si>
    <t>Total Ingresos Netos</t>
  </si>
  <si>
    <t>RETENCION EN LA FUENTE</t>
  </si>
  <si>
    <t>Renta exenta 25%</t>
  </si>
  <si>
    <t>Total Deducciones</t>
  </si>
  <si>
    <t>Total Rentas Exentas</t>
  </si>
  <si>
    <t>Base de Calculo:</t>
  </si>
  <si>
    <t>Limitación 25% Renta Exenta 2.880 UVT ($91.754.000)</t>
  </si>
  <si>
    <t>Exento 25%</t>
  </si>
  <si>
    <t>Total Deducciones y Rentas Exentas imputables</t>
  </si>
  <si>
    <t>Deducciones y Rentas exentas aceptadas fiscalmente</t>
  </si>
  <si>
    <t>Renta Liquida Cedular COP$</t>
  </si>
  <si>
    <t>Renta Liquida Cedular UVT</t>
  </si>
  <si>
    <t>PAGADO</t>
  </si>
  <si>
    <t>DEDUCIBLE FISCALMENTE</t>
  </si>
  <si>
    <t>DESCRIPCION</t>
  </si>
  <si>
    <t>Bonos de alimentación  hasta 41 UVT ($1,306,000) para trabajdores que devenguen hasta 310 UVT ($9,876,000) Art 387-1</t>
  </si>
  <si>
    <t>Retiros de cuentas AFC Art. 126-4 E.T.</t>
  </si>
  <si>
    <t>Retiros de fondos de pensiones y/o cesantias Art.126-1 E.T.</t>
  </si>
  <si>
    <t>Intereses y/o corrección monetaria por prestamo de vivienda ó leasing financiero MAX 1.200 UVT ($38,231.000) anuales Art. 119 E.T.</t>
  </si>
  <si>
    <t>Medicina prepagada y/o seguros de salud para el trabajador, conyugue compañero (a) permanente,sus hijos MAX 192 UVT ($6,117,000) anuales Art. 387 E.T.</t>
  </si>
  <si>
    <t>Dependientes  10% del ingreso laboral Max 384 UVT ($12,234,000) Art. 387 E.T.</t>
  </si>
  <si>
    <t>Gravamen a los Movimientos Financieros 50% del valor certificado Art. 115 Inc 2</t>
  </si>
  <si>
    <t>Aportes a fondos de cesantias por participes independientes una doceava parte del valor de honorarios y/o comisiones MAX 2.500 UVT ($79,648,000) Art 126-1 Inc 6</t>
  </si>
  <si>
    <t>Las indemnizaciones por accidente de trabajo o enfermedad. Art 206 Num 1</t>
  </si>
  <si>
    <t>Las indemnizaciones que impliquen protección a la maternidad. Art 206 Num 2</t>
  </si>
  <si>
    <t>Lo recibido por gastos de entierro del trabajador. Art 206 Num 3</t>
  </si>
  <si>
    <t>Intereses sobre Cesantias (efectivamente pagados) Art. 206 Num 4</t>
  </si>
  <si>
    <t>Gastos de representación (Magistrados y fiscales el 50%, jueces el 25%, rectores y profesores de universidades oficiales 50%) Art. 206 Num 7</t>
  </si>
  <si>
    <t>El exceso de salario basico percibido por los oficiales y suoficiales de las fuerzas militares y de policia y agentes de policia Art 206 Num 8</t>
  </si>
  <si>
    <t>Aportes voluntarios a fondos de pensiones por el empleador Art 126-1 Inc 2</t>
  </si>
  <si>
    <t>Aportes a cuentas AFC Art. 126-1 Inc 2</t>
  </si>
  <si>
    <t>Renta exenta del 25% Art 206 Num 10</t>
  </si>
  <si>
    <t>CEDULA 2</t>
  </si>
  <si>
    <t>PENSIONES Art 337 E.T.</t>
  </si>
  <si>
    <t>RENTAS DE TRABAJO Arts 335 y 336 E.T.</t>
  </si>
  <si>
    <t>RENTAS DE PENSIONES Art. 337 E.T.</t>
  </si>
  <si>
    <t>Pensiones de jubilación, invalidez, vejez, de sobrevivientes y de riesgos laborales, indemnizaciones sustitutivas de pesnsiones y devoluciones de saldos de ahorro pensional</t>
  </si>
  <si>
    <t xml:space="preserve">Total Rentas Exentas imputables </t>
  </si>
  <si>
    <t>RENTAS DE CAPITAL ART. 338 E.T.</t>
  </si>
  <si>
    <t>Intereses y rendimientos financieros</t>
  </si>
  <si>
    <t>Arrendamientos</t>
  </si>
  <si>
    <t>Regalias</t>
  </si>
  <si>
    <t>Explotación de la propiedad intelectual</t>
  </si>
  <si>
    <t xml:space="preserve">Otros ingresos  </t>
  </si>
  <si>
    <t>Componente inflacionario de los rendimientos financieros Art. 38 E.T.</t>
  </si>
  <si>
    <t>RENTAS DE CAPITAL Arts 338 y 339 E.T.</t>
  </si>
  <si>
    <t>Costos y Gastos Art. 339 E.T.</t>
  </si>
  <si>
    <t xml:space="preserve">Costos procedentes debidamente soportados </t>
  </si>
  <si>
    <t>Gastos procedentes debidamente soportados</t>
  </si>
  <si>
    <t>No Procedentes</t>
  </si>
  <si>
    <t>Procedentes</t>
  </si>
  <si>
    <t>Detalle</t>
  </si>
  <si>
    <t>Deducible</t>
  </si>
  <si>
    <t>Total</t>
  </si>
  <si>
    <t>Total Costos y Gastos</t>
  </si>
  <si>
    <t>Base antes de deducciones y rentas exentas</t>
  </si>
  <si>
    <t>CEDULA 3</t>
  </si>
  <si>
    <t>CEDULA 4</t>
  </si>
  <si>
    <t>RENTAS NO LABORALES  Arts 340 y 341 E.T.</t>
  </si>
  <si>
    <t>RENTAS NO LABORALES</t>
  </si>
  <si>
    <t>Retiros de fondos de cesantias por participes independientes oficio 014866/2005</t>
  </si>
  <si>
    <t>Indemnizaciones por daño emergente Art. 45 E.T.</t>
  </si>
  <si>
    <t xml:space="preserve">Retiro de aportes a fondos de pensiones sin el cumplimiento Art.126-1 </t>
  </si>
  <si>
    <t xml:space="preserve">Retiro de aportes a cuentas AFC sin el cumplimiento Art.126-4 </t>
  </si>
  <si>
    <t>Venta de activos fijos poseidos por menos de dos años Oficio 004884/2017</t>
  </si>
  <si>
    <t>Recuperación de deducciones por venta de activos fijos poseidos por más de dos años Art. 196 E.T.</t>
  </si>
  <si>
    <t>Total ingresos brutos No Laborales</t>
  </si>
  <si>
    <t>Costos y Gastos Art. 341 E.T.</t>
  </si>
  <si>
    <t>Aportes a fondos de cesantias por participes independientes un doceavo de los honorarios, Max 2,500 UVT ($79,648,000) Art. 126-1 Inc 6</t>
  </si>
  <si>
    <t>Aportes a cuentas AFC Art. 126-1 Inc 1</t>
  </si>
  <si>
    <t>Renta Liquida Cedular antes de compensaciones</t>
  </si>
  <si>
    <t>Impuesto Cedular Rentas No Laborales Art 241 Num 2</t>
  </si>
  <si>
    <t>DIVIDENDOS Y PARTICIPACIONES Arts 342 y 343 E.T.</t>
  </si>
  <si>
    <t>DIVIDENDOS Y PARTICIPACIONES</t>
  </si>
  <si>
    <t>Dividendos Gravados Art. 342 E.T.</t>
  </si>
  <si>
    <t>Dividendos No Gravados Art 342 E.T.</t>
  </si>
  <si>
    <t>Total Dividendos y Participaciones</t>
  </si>
  <si>
    <t>Renta liquida Subcédula 1 COP$</t>
  </si>
  <si>
    <t>Renta liquida Subcédula 1 Art. 343 Num 1</t>
  </si>
  <si>
    <t>Impuesto sobre la Renta en UVT</t>
  </si>
  <si>
    <t>Renta liquida Subcédula 2 COP$</t>
  </si>
  <si>
    <t>Excedente Subcédula 2</t>
  </si>
  <si>
    <t>Excedente Subcédula 2 en UVT</t>
  </si>
  <si>
    <t>Impuesto sobre la Renta Subcédula 1 en COP$</t>
  </si>
  <si>
    <t>Renta liquida Subcédula 1 UVT Art. 242 E.T.</t>
  </si>
  <si>
    <t>Impuesto sobre la Renta Excedente Subcedula 2 en COP$</t>
  </si>
  <si>
    <t>Renta liquida Subcédula 2 Art. 343 Num 2</t>
  </si>
  <si>
    <t>Impuesto sobre la Renta en COP$ Art. 242 E.T.</t>
  </si>
  <si>
    <t>Impuesto sobre la Renta en UVT Art. 242 E.T.</t>
  </si>
  <si>
    <t>CEDULA 5</t>
  </si>
  <si>
    <t>SALDO 31/12/16</t>
  </si>
  <si>
    <t>SALDO 31/12/17</t>
  </si>
  <si>
    <t>VALOR DECLARADO 2016</t>
  </si>
  <si>
    <t>VALOR INTRINSECO A 31/12/2017</t>
  </si>
  <si>
    <t>VALOR DECLARADO 2017</t>
  </si>
  <si>
    <t xml:space="preserve"> A 31/12/16</t>
  </si>
  <si>
    <t>Patrimonio Bruto 2016</t>
  </si>
  <si>
    <t>Patrimonio Liquido 2016</t>
  </si>
  <si>
    <t>Patrimonio Líquido Fiscal a 31/12/16</t>
  </si>
  <si>
    <t>Venta de Activos fijos poseidos por mas de dos años Art. 300 E.T</t>
  </si>
  <si>
    <t>Ingreso</t>
  </si>
  <si>
    <t xml:space="preserve">Costos </t>
  </si>
  <si>
    <t>No gravadas y Exentas</t>
  </si>
  <si>
    <t>Gravables</t>
  </si>
  <si>
    <t>Utilidad en Venta</t>
  </si>
  <si>
    <t>Recuperación de deducciones Arts. 67, 128 y 196 E.T.</t>
  </si>
  <si>
    <t>Impuesto a la Ganancia Ocasional 10%</t>
  </si>
  <si>
    <t>IMPUESTO RENTA 2017</t>
  </si>
  <si>
    <t>IMPUESTO DE RENTA 2016</t>
  </si>
  <si>
    <t>IMPUESTO DE RENTA 2017</t>
  </si>
  <si>
    <t>APLICACIÓN PRACTICA -AÑO GRAVABLE 2017</t>
  </si>
  <si>
    <t>Efectivo y Equivalente</t>
  </si>
  <si>
    <t>1.1</t>
  </si>
  <si>
    <t>Fondo de empleados Sociedad XY Ltda</t>
  </si>
  <si>
    <t xml:space="preserve">Varias sin documento soporte </t>
  </si>
  <si>
    <t>INGRESOS</t>
  </si>
  <si>
    <t>6.1</t>
  </si>
  <si>
    <t>Salarios</t>
  </si>
  <si>
    <t>Prestaciones sociales</t>
  </si>
  <si>
    <t>Aportes al sistema de seguridad social salud</t>
  </si>
  <si>
    <t>Aportes al sistema de seguridad social Pensión y FSP</t>
  </si>
  <si>
    <t>Descuentos por aportes a cuentas AFC</t>
  </si>
  <si>
    <t>6.2</t>
  </si>
  <si>
    <t xml:space="preserve">Pensión de Jubilación </t>
  </si>
  <si>
    <t>Aportes a Salud</t>
  </si>
  <si>
    <t>6.3</t>
  </si>
  <si>
    <t>Honorarios</t>
  </si>
  <si>
    <t>Aportes  a Salud</t>
  </si>
  <si>
    <t>Retención en la Fuente</t>
  </si>
  <si>
    <t>Valor pagado a contratistas (Presentan la correspondiente planilla de aportes)</t>
  </si>
  <si>
    <t>6.4</t>
  </si>
  <si>
    <t xml:space="preserve"> Participaciones no gravadas</t>
  </si>
  <si>
    <t>6.5</t>
  </si>
  <si>
    <t xml:space="preserve">Dividendos gravados recibidos del exterior empresa Chilena  </t>
  </si>
  <si>
    <t>Impuestos pagados por utilidades pagadas a no residentes en Chile</t>
  </si>
  <si>
    <t>6.6</t>
  </si>
  <si>
    <t>Rendimientos financieros por el CDT</t>
  </si>
  <si>
    <t>Retención en la fuente</t>
  </si>
  <si>
    <t>6.7</t>
  </si>
  <si>
    <t>Arrendamiento del apartamento de Bogotá</t>
  </si>
  <si>
    <t>7.1</t>
  </si>
  <si>
    <t>Dependientes dos hijos menores</t>
  </si>
  <si>
    <t>7.2</t>
  </si>
  <si>
    <t>7.3</t>
  </si>
  <si>
    <t>7.4</t>
  </si>
  <si>
    <t>El 22 de Agosto de 2017 recibe en calidad de no legitimario la suma de $50.000.000  Escritura Publica.-654  Notaria 550  de Bogotá</t>
  </si>
  <si>
    <t>7.5</t>
  </si>
  <si>
    <t>Por concepto de una rifa recibe en efectivo $48.000.000</t>
  </si>
  <si>
    <t>7.6</t>
  </si>
  <si>
    <t>7.7</t>
  </si>
  <si>
    <t>7.8</t>
  </si>
  <si>
    <t>7.9</t>
  </si>
  <si>
    <t>7.10</t>
  </si>
  <si>
    <t>Contribuyente responsable del impuesto a la riqueza Base gravable determinada por el 2015</t>
  </si>
  <si>
    <t>7.11</t>
  </si>
  <si>
    <t>Patrimonio bruto a 31-12-2016</t>
  </si>
  <si>
    <t>Patrimonio liquido a 31-12-2016</t>
  </si>
  <si>
    <t>Impuesto neto de renta año gravable 2016</t>
  </si>
  <si>
    <t>Anticipo año gravable 2017</t>
  </si>
  <si>
    <t>Datos para la declaración de renta año gravable 2017</t>
  </si>
  <si>
    <t>Como rectora de la Universidad Pública durante el año gravable 2017 laboro hasta el 30 de junio de 2017 y obtuvo ingresos como se muestra en el certificado de ingresos y retenciones expedido por la Entidad así:</t>
  </si>
  <si>
    <t>254569-5</t>
  </si>
  <si>
    <t>Acciones</t>
  </si>
  <si>
    <t>Calle 61 No. 5 - 40</t>
  </si>
  <si>
    <t xml:space="preserve">CL 85  No. 3 25 Este </t>
  </si>
  <si>
    <t>CL 85  No. 3 25 Este GJ 8</t>
  </si>
  <si>
    <t>Kr 6a No. 108 95  AP 901</t>
  </si>
  <si>
    <t>La Virginia</t>
  </si>
  <si>
    <t>Banco el Billete</t>
  </si>
  <si>
    <t>Fondo de Empleados Sociedad XY Ltda.</t>
  </si>
  <si>
    <t>Carlos Tarquino Rusinque</t>
  </si>
  <si>
    <t>Banco el Billete Tarjeta de Crédito</t>
  </si>
  <si>
    <t>Pasivos Inexistentes</t>
  </si>
  <si>
    <t>Ingresos brutos rentas no laborales</t>
  </si>
  <si>
    <t>El Banco el Billete S.A. certifica por GMF</t>
  </si>
  <si>
    <t>Total Deducciones y Rentas Exentas imputables (limitadas) 40% de ingresos netos menos costos y gastos procedentes MAX 5,040 UVT ($ 160,569,000) Art. 336 E.T.</t>
  </si>
  <si>
    <t>Apoyos económicos no reembolsables entregados por el estado para estudios en el exterior USD$ 20.000</t>
  </si>
  <si>
    <t>Pensión de Jubilación Exenta limitado a 12.000 UVT  ($382.308.000)</t>
  </si>
  <si>
    <t>Activos Omitidos</t>
  </si>
  <si>
    <t>Recuperación de deducciones</t>
  </si>
  <si>
    <t>Renta por comparación de patrimonios</t>
  </si>
  <si>
    <t>Por perdidas de ejercicios anteriores Art. 147 E.T.</t>
  </si>
  <si>
    <t>Por exceso de renta presuntiva Art. 189 E.T.</t>
  </si>
  <si>
    <t>Total Compensaciones</t>
  </si>
  <si>
    <t>Total rentas liquidas gravables no laborales</t>
  </si>
  <si>
    <t>Renta liquida gravable no laboral Art. 239-1 E.T.</t>
  </si>
  <si>
    <t>Compensaciones de pérdidas de ejercicios anteriores Art. 147 E.T.</t>
  </si>
  <si>
    <t>PASIVOS</t>
  </si>
  <si>
    <t>Herencia por muerte de la conyugue</t>
  </si>
  <si>
    <t>No legitimario</t>
  </si>
  <si>
    <t>Rifa</t>
  </si>
  <si>
    <t>Total Deducciones y Rentas Exentas imputables (limitadas) 10% de la base antes de deducciones y rentas exentas MAX 1,000 UVT  ($ 31,859,000) Art. 341 E.T.</t>
  </si>
  <si>
    <t xml:space="preserve">Impuesto Predial año gravable 2017 </t>
  </si>
  <si>
    <t>DONACIONES</t>
  </si>
  <si>
    <t>Donacion a entidad de vivienda a clases vulnerables</t>
  </si>
  <si>
    <t>INDICE GENERAL DE ANEXOS</t>
  </si>
  <si>
    <t>NOMBRE</t>
  </si>
  <si>
    <t>ANEXO</t>
  </si>
  <si>
    <t>Información para la elaboración de la declaración de renta</t>
  </si>
  <si>
    <t>Ganancias ocasionales</t>
  </si>
  <si>
    <t>Plazos para la presentación y pago del impuesto</t>
  </si>
  <si>
    <t>Impuesto a la riqueza y normalización tributaria</t>
  </si>
  <si>
    <t xml:space="preserve">PERSONA NATURAL </t>
  </si>
  <si>
    <t>RENTAS CEDULARES</t>
  </si>
  <si>
    <t>Formulario oficial declaracion de renta y complementarios año gravable-2017</t>
  </si>
  <si>
    <t>Efectivo y equivalente de efectivo</t>
  </si>
  <si>
    <t>INSTRUMENTOS FINANCIEROS</t>
  </si>
  <si>
    <t>Instrumentos Financieros</t>
  </si>
  <si>
    <t>Propiedad planta y equipo</t>
  </si>
  <si>
    <t>Pasivos</t>
  </si>
  <si>
    <t>Renta Cedular de Pensiones</t>
  </si>
  <si>
    <t>Renta Cedular de Trabajo</t>
  </si>
  <si>
    <t>Renta Cedular de Capital</t>
  </si>
  <si>
    <t>Dividendos y Participaciones</t>
  </si>
  <si>
    <t>Rentas Gravables</t>
  </si>
  <si>
    <t>14</t>
  </si>
  <si>
    <t>Determinación anticipo año gravable-2017</t>
  </si>
  <si>
    <t>Rentas exentas no laborales y deducciones imputables (limitadas)</t>
  </si>
  <si>
    <t>Renta liquida cedular no laboral (62 - 64 + 65); si 62 es igual a cero (0); 66  igual 65</t>
  </si>
  <si>
    <t>Dividendos y participaciones 2016 y anteriores, y otros</t>
  </si>
  <si>
    <t>Rentas exentas, de la casilla 72</t>
  </si>
  <si>
    <t>De trabajo y pensiones</t>
  </si>
  <si>
    <t>De capital y no laborales</t>
  </si>
  <si>
    <t>Por dividendos y participaciones año 2016 - casilla 69</t>
  </si>
  <si>
    <t>Por dividendos y participaciones año 2017 y siguientes, 1a subcedula</t>
  </si>
  <si>
    <t>Por dividendos y participaciones año 2017 y siguientes, 2a subcedula y otros</t>
  </si>
  <si>
    <t>Total patrimonio líquido (29 - 30)</t>
  </si>
  <si>
    <t>Rentas liquidas pasivas de capital - ECE</t>
  </si>
  <si>
    <t>Rentas liquidas pasivas no laborales - ECE</t>
  </si>
  <si>
    <t>Renta liquida pasiva dividendos - ECE y/o recibidos del exterior</t>
  </si>
  <si>
    <t>Anexo 1</t>
  </si>
  <si>
    <t>Anexo 2</t>
  </si>
  <si>
    <t>Anexo 3</t>
  </si>
  <si>
    <t>Anexo 4</t>
  </si>
  <si>
    <t>Renglón 29</t>
  </si>
  <si>
    <t>Vehículo KIA Placa ABR 295</t>
  </si>
  <si>
    <t>Renglón 30</t>
  </si>
  <si>
    <t>Cesantías e Intereses sobre Cesantías</t>
  </si>
  <si>
    <t>Retención en la Fuente por pagos Laborales</t>
  </si>
  <si>
    <t>El  mes de julio de 2017 le otorgan la pensión de jubilación con una mesada pensional mensual de $18.442.925</t>
  </si>
  <si>
    <t>En agosto 2017, Contrata con FUNDACION UNIVERSITARIA asesoría con el fin de obtener acreditación de alta calidad por valor de $100.000.000, Efectúa los aportes al sistema de seguridad social, para llevar a cabo el proyecto contrata a tres (3) profesionales por ciento veinte días (120), para efectuar el trabajo de campo y les cancela la suma de cincuenta millones ($50.000.000), quienes presentan las correspondientes planillas de aportes al sistema general de seguridad social</t>
  </si>
  <si>
    <t>se contrato póliza 85649 de medicina prepagada que cubre el periodo 01-01-2017 al 31-12-2017</t>
  </si>
  <si>
    <t>El contribuyente vendió el 14 de Marzo de 2017 que había sido adquirida 5 años atrás, según Escritura Publica 63 de la Notaria 600 de Bogotá DC.su casa de habitación por valor de $300.000.000, el costo declarado en el 2016 fue de $280.000.000, igual al auto avaluó. Los recursos son consignados en la cuenta AFC, el 12 de julio de 2017 con escritura Publica 1000 de la Notaria 2000 de Bogotá se adquiere una nueva casa de habitación junto con garaje por valor de $520.000.000</t>
  </si>
  <si>
    <t>Según Escritura Publica 923 de la Notaria 500 de Bogotá de fecha  3 de Junio de 2017, recibe una herencia en calidad de beneficiario de la muerte de su conyugue recibiendo como porción conyugal la suma de $100.000.000</t>
  </si>
  <si>
    <t>El contribuyente realiza una donación a una entidad sin animo de lucro el día 8 de Octubre-2017</t>
  </si>
  <si>
    <t xml:space="preserve">El Banco Billete S.A. certifica por intereses por préstamo para vivienda </t>
  </si>
  <si>
    <t>La retenciones en la fuente por la enajenación de la casa de habitación asciende a</t>
  </si>
  <si>
    <t>Declaración de activos en el exterior cuenta corriente en el City Banco Américas de Miami</t>
  </si>
  <si>
    <t>City Banco Américas Miami-Cuenta corriente No. 498015 Saldo al 31-12-2016 US$3.800</t>
  </si>
  <si>
    <t>Garaje No. 8  Bogotá DC.-Avaluó catastral 2017  $40.000.000</t>
  </si>
  <si>
    <t>Apto en Bogotá DC.  KR  6  No. 108-95  Avaluó catastral-2017 $380.000.000</t>
  </si>
  <si>
    <t>Vehículo de uso personal marca KIA   modelo 2016</t>
  </si>
  <si>
    <t>Finca en la Virginia -Avaluó catastral 2017 $335.000.000</t>
  </si>
  <si>
    <t>Otras Obligaciones-Carlos Tarquino Rusinque Con garantía</t>
  </si>
  <si>
    <t>Banco el Billete S.A. Tarjeta de Crédito</t>
  </si>
  <si>
    <t>Anexo 5</t>
  </si>
  <si>
    <t>Anexo 6</t>
  </si>
  <si>
    <t>Renglón 32</t>
  </si>
  <si>
    <t>Renglón 33</t>
  </si>
  <si>
    <t>Renglón 34</t>
  </si>
  <si>
    <t>Renglón 35</t>
  </si>
  <si>
    <t>Renglon 36</t>
  </si>
  <si>
    <t>Rengón 37</t>
  </si>
  <si>
    <t>Renglón 81</t>
  </si>
  <si>
    <t>Anexo 7</t>
  </si>
  <si>
    <t>Total Rentas Exentas imputables (limitadas) MAX 12,000 UVT ($ 382,308,000) Art. 206 Num 5 E.T.</t>
  </si>
  <si>
    <t>Renglón 38</t>
  </si>
  <si>
    <t>Renglón 39</t>
  </si>
  <si>
    <t>Renglón 41</t>
  </si>
  <si>
    <t>Renglón 99</t>
  </si>
  <si>
    <t>Anexo 8</t>
  </si>
  <si>
    <t>Renglón 43</t>
  </si>
  <si>
    <t>Renglón 44</t>
  </si>
  <si>
    <t>Renglon 45</t>
  </si>
  <si>
    <t>Renglón 46</t>
  </si>
  <si>
    <t>Total Deducciones y Rentas Exentas imputables (limitadas) 10% de la base antes de deducciones y rentas exentas MAX 1,000 UVT ($ 31,859,000) Art. 339 E.T.</t>
  </si>
  <si>
    <t>Renglón 53</t>
  </si>
  <si>
    <t>Renglón 54</t>
  </si>
  <si>
    <t>Renglón 56</t>
  </si>
  <si>
    <t>Renglón 57</t>
  </si>
  <si>
    <t>Renglón 58</t>
  </si>
  <si>
    <t>Renglón 65</t>
  </si>
  <si>
    <t>Renglón 66</t>
  </si>
  <si>
    <t>Renglón 82</t>
  </si>
  <si>
    <t>Anexo 9</t>
  </si>
  <si>
    <t>Anexo 10</t>
  </si>
  <si>
    <t>Renglón 70</t>
  </si>
  <si>
    <t>Renglón 71</t>
  </si>
  <si>
    <t>Renglón 84</t>
  </si>
  <si>
    <t>Renglón 85</t>
  </si>
  <si>
    <t>Sume de anexos 1, 2, 3, 4</t>
  </si>
  <si>
    <r>
      <t xml:space="preserve">(1) Pasivos inexistentes: no se encontró evidencia de la obligación </t>
    </r>
    <r>
      <rPr>
        <b/>
        <sz val="10"/>
        <color indexed="36"/>
        <rFont val="Arial"/>
        <family val="2"/>
      </rPr>
      <t>Renglón 65</t>
    </r>
  </si>
  <si>
    <t>Anexo 11</t>
  </si>
  <si>
    <t>11</t>
  </si>
  <si>
    <t>La declaración de renta por el año gravable 2016, registra los siguientes valores los cuales se tomaron para determinar la renta presuntiva, y el valor del anticipo año gravable 2017</t>
  </si>
  <si>
    <t>6</t>
  </si>
  <si>
    <t>Renglón 76</t>
  </si>
  <si>
    <t>Anexo 12</t>
  </si>
  <si>
    <t>Renglón 90</t>
  </si>
  <si>
    <t>Renglón 89</t>
  </si>
  <si>
    <t>Anexo 14</t>
  </si>
  <si>
    <t>4 y 14</t>
  </si>
  <si>
    <t>Ganancia Ocasional diferente de Rifas</t>
  </si>
  <si>
    <t>Ganancia Ocasional por Rifas</t>
  </si>
  <si>
    <t>Impuesto a la Ganancia Ocasional 20%</t>
  </si>
  <si>
    <t>Total Impuesto a la Ganancia Ocasional</t>
  </si>
  <si>
    <t>Renglón 94</t>
  </si>
  <si>
    <t>Renglón 77</t>
  </si>
  <si>
    <t>Renglón 78</t>
  </si>
  <si>
    <t>Renglón 79</t>
  </si>
  <si>
    <t>Renglón 80</t>
  </si>
  <si>
    <t>Anexo 13</t>
  </si>
  <si>
    <t>Anexo 15</t>
  </si>
  <si>
    <t>Base</t>
  </si>
  <si>
    <t xml:space="preserve">Renglón 97 </t>
  </si>
  <si>
    <t>PAZ</t>
  </si>
  <si>
    <t>SANTOS</t>
  </si>
  <si>
    <t>CARO</t>
  </si>
  <si>
    <t>CARO PAZ SANTOS</t>
  </si>
  <si>
    <t>Actividad económica asalariado código 0010</t>
  </si>
  <si>
    <t>Deudores</t>
  </si>
  <si>
    <t>Renta Cedular No Laborales</t>
  </si>
  <si>
    <t>DECLARACION DE RENTA Y COMPLEMENTARIOS AÑO GRAVABLE 2017</t>
  </si>
  <si>
    <t>Concepto</t>
  </si>
  <si>
    <t>Rentas de Trabajo</t>
  </si>
  <si>
    <t>% de participación</t>
  </si>
  <si>
    <t>Rentas de Pensiones</t>
  </si>
  <si>
    <t>Rentas de Capital</t>
  </si>
  <si>
    <t>Rentas No Laborales</t>
  </si>
  <si>
    <t>Ingresos</t>
  </si>
  <si>
    <t>Ingresos del Exterior</t>
  </si>
  <si>
    <t>Costos y Gastos procedentes</t>
  </si>
  <si>
    <t>Renta Liquida</t>
  </si>
  <si>
    <t>Aportes AFC y/o Fondo Voluntarios de pensión</t>
  </si>
  <si>
    <t>Cesantias 2017 y siguientes</t>
  </si>
  <si>
    <t>Retiro de cesantias 2016 y anteriores</t>
  </si>
  <si>
    <t>Prima especial y costo de vida(Diplomaticos, Consulares, y Administrativos Ministerio de Relaciones Exteriores</t>
  </si>
  <si>
    <t>Decisión 578 de 2004 CAN</t>
  </si>
  <si>
    <t>Pensiones</t>
  </si>
  <si>
    <t>Gastos De Representación Num 7 Art 206 E.T.</t>
  </si>
  <si>
    <t>25% Numeral 10 Art. 206 E.T.</t>
  </si>
  <si>
    <t>Otras rentas exentas</t>
  </si>
  <si>
    <t>Intereses crédito de casa de habitación</t>
  </si>
  <si>
    <t>Gravamen a los movimientos financieros</t>
  </si>
  <si>
    <t>Dependientes</t>
  </si>
  <si>
    <t>Medicina prepagada</t>
  </si>
  <si>
    <t>Otras deducciones</t>
  </si>
  <si>
    <t>DEDUCCIONES IMPUTABLES</t>
  </si>
  <si>
    <t>Total Rentas Exentas (A)</t>
  </si>
  <si>
    <t xml:space="preserve">Total Deducciones Imputables </t>
  </si>
  <si>
    <t>Total Rentas Exentas y deducciones Imputables (B)</t>
  </si>
  <si>
    <t>Total Rentas Exentas / Total Rentas Exentas y Deducciones (Imputables)</t>
  </si>
  <si>
    <t>Determinación de Renta Presuntiva para comparar con las Rentas Liquidas Cedulares</t>
  </si>
  <si>
    <t>Patrimonio Liquido depurado según Art. 189 E.T.</t>
  </si>
  <si>
    <t>Porcentaje renta presuntiva</t>
  </si>
  <si>
    <t>Valor renta presuntiva (D)</t>
  </si>
  <si>
    <t>Total Rentas Exentas y Deducciones Imputables (Limitadas) ( C )</t>
  </si>
  <si>
    <t>Proporción de las rentas exentas en cada cedula</t>
  </si>
  <si>
    <t>% de Participación</t>
  </si>
  <si>
    <t>Valor a disminuir de la renta presuntiva Total rentas exentas y deducciones imputables limitadas por % de participación</t>
  </si>
  <si>
    <t>Rentas Liquidas Cedulares Renta Liquida - Total Rentas Exentas y Deducciones Imputables (Limitadas)</t>
  </si>
  <si>
    <t>Mayor valor entre Renta Presuntiva y Rentas Liquidas Cedulares</t>
  </si>
  <si>
    <t xml:space="preserve">Si la renta presuntiva es mayor,se aplica la tarifa del numeral 2 de el artículo 241 E.T., porque la renta presuntiva se imputa a la cedula de rentas no laborales,no se debe disminuir nuevamente las rentas exentas puesto que ya se tomaron en cuenta para determinar las bases comparables.                                               </t>
  </si>
  <si>
    <t>PROCEDIMIENTO PARA LA APLICACIÓN DE LAS RENTAS EXENTAS EN LA RENTA PRESUNTIVA</t>
  </si>
  <si>
    <t>( G )</t>
  </si>
  <si>
    <t>Total rentas exentas a disminuir para calcular la renta presuntiva ( E )</t>
  </si>
  <si>
    <t>Renta Presuntiva        ( D )</t>
  </si>
  <si>
    <t>Renta Liquida Presuntiva          ( D ) - ( E )</t>
  </si>
  <si>
    <t>Rentas Liquidas Cedulares        ( G )</t>
  </si>
  <si>
    <t>Base para Cálculo</t>
  </si>
  <si>
    <t>Base en UVT</t>
  </si>
  <si>
    <t>Impuesto por Renta Presuntiva</t>
  </si>
  <si>
    <t>Los primeros 8.000 UVT del valor de la vivienda de habitación</t>
  </si>
  <si>
    <t>TOTAL RENTAS LIQUIDAS CEDULAS 1 Y 2</t>
  </si>
  <si>
    <t>Impuesto Cedular Rentas de Trabajo y Pensiones Art 241 Num 1</t>
  </si>
  <si>
    <t>TOTAL RENTAS LIQUIDAS CEDULAS 3 y 4</t>
  </si>
  <si>
    <t>Total Impuesto de Renta Dividendos y Participaciones</t>
  </si>
  <si>
    <t>Titulos</t>
  </si>
  <si>
    <t xml:space="preserve">Cuenta corriente BBVA  10119388 </t>
  </si>
  <si>
    <t xml:space="preserve">Cuenta de ahorros Bancolombia 2015455  </t>
  </si>
  <si>
    <t xml:space="preserve">Aportes Fondo de empleados Sociedad XY </t>
  </si>
  <si>
    <t>Cuenta de ahorros "AFC" 254569-5 Colpatria</t>
  </si>
  <si>
    <t>CDT-BCSC</t>
  </si>
  <si>
    <t>Ecopetrol SA</t>
  </si>
  <si>
    <t>Vr Compra</t>
  </si>
  <si>
    <t>Caro SAS</t>
  </si>
  <si>
    <t>Casa de habitación  CL 85  No. 3-25 Este Bogotá D.C.-Avaluó catastral 2017 $480.000.000</t>
  </si>
  <si>
    <t>Obligaciones Hipotecarias Banco el Billete S.A.</t>
  </si>
  <si>
    <r>
      <rPr>
        <b/>
        <sz val="10"/>
        <rFont val="Arial"/>
        <family val="2"/>
      </rPr>
      <t>Cuentas por Cobrar</t>
    </r>
    <r>
      <rPr>
        <sz val="10"/>
        <rFont val="Arial"/>
        <family val="2"/>
      </rPr>
      <t>-Pedro Perez P</t>
    </r>
  </si>
  <si>
    <t>Petrobras do Brasil</t>
  </si>
  <si>
    <t>Rentas exentas  proporcionales admisibles para calcular Renta Presuntiva         ( E )</t>
  </si>
  <si>
    <t>activos del exterior - trm historica</t>
  </si>
  <si>
    <t>Certificado del banco</t>
  </si>
  <si>
    <t>No me interesa el vr en bolsa</t>
  </si>
  <si>
    <t>Let 1739 de 2014</t>
  </si>
  <si>
    <t>trm a dic 31 de 2014 si se compro antes de esa fecha. O si no por la TRM  de la fecha de compra.</t>
  </si>
  <si>
    <t>no me interesa el vr intrinseco, seguro que no, si no m interesa.</t>
  </si>
  <si>
    <t>oblig llevar contabilidad</t>
  </si>
  <si>
    <t>el det debe ser mayor o ifgual al fiscal</t>
  </si>
  <si>
    <t>det contable</t>
  </si>
  <si>
    <t>det fiscal</t>
  </si>
  <si>
    <t>ok</t>
  </si>
  <si>
    <t>raro</t>
  </si>
  <si>
    <t>Saldos a favor</t>
  </si>
  <si>
    <t>persona</t>
  </si>
  <si>
    <t>obligados a llevar contabilidad</t>
  </si>
  <si>
    <t>costo - menos depreciación</t>
  </si>
  <si>
    <t>Pueden optativamente, tomar el avaluo catastral</t>
  </si>
  <si>
    <t>no, y po q no, por q no</t>
  </si>
  <si>
    <t>ventas</t>
  </si>
  <si>
    <t>no obligado a llevar contabilidad</t>
  </si>
  <si>
    <t>soporte</t>
  </si>
  <si>
    <t>pagare - autenticado</t>
  </si>
  <si>
    <t>cuentas por cobrar exterior</t>
  </si>
  <si>
    <t>cuentas x pagar exterior</t>
  </si>
  <si>
    <t>trm de la fecha de la operación</t>
  </si>
  <si>
    <t>Cesantias - reclamadas del fondo, 2016 y ant</t>
  </si>
  <si>
    <t>sin limite</t>
  </si>
  <si>
    <t xml:space="preserve">Cesantias (consignadas al fondo en 2017) </t>
  </si>
  <si>
    <t>sujetos al malvado limite del 40%</t>
  </si>
  <si>
    <t>certficado entidad financiera</t>
  </si>
  <si>
    <t>soportes</t>
  </si>
  <si>
    <t>certificado del banco</t>
  </si>
  <si>
    <t>Empleada de servicio</t>
  </si>
  <si>
    <t>exenta sin limite</t>
  </si>
  <si>
    <t>Rentas exentas sin limite</t>
  </si>
  <si>
    <t>sin cesantias exentas no sujetas a limite.</t>
  </si>
  <si>
    <t>uvt 2017</t>
  </si>
  <si>
    <t>impuesto</t>
  </si>
  <si>
    <t>uvt</t>
  </si>
  <si>
    <t>pesos</t>
  </si>
  <si>
    <t>tarifa efectiva</t>
  </si>
  <si>
    <t>Pedro Palacios</t>
  </si>
  <si>
    <t>INCR- salud y pensión</t>
  </si>
  <si>
    <t>Ingresos netos</t>
  </si>
  <si>
    <t>gastos, RE</t>
  </si>
  <si>
    <t>Base gravable</t>
  </si>
  <si>
    <t>UVT</t>
  </si>
  <si>
    <t>Impuesto</t>
  </si>
  <si>
    <t>Plata</t>
  </si>
  <si>
    <t>Juemadre</t>
  </si>
  <si>
    <t xml:space="preserve">Costos procedentes devidamente soportados </t>
  </si>
  <si>
    <t>Ingresos por venta de productos</t>
  </si>
  <si>
    <t>Soportados, y sumados dos veces, la tecera me dio pereza.</t>
  </si>
  <si>
    <t>1- reparto de dividendos generados en 2016 y ant- no gravados</t>
  </si>
  <si>
    <t>cero, nada, ni pio</t>
  </si>
  <si>
    <t>2- reparto de dividendos generados en 2016 y ant- gravados</t>
  </si>
  <si>
    <t>tabla ant q es hoy la de rentas de trabajo</t>
  </si>
  <si>
    <t>3- reparto de dividendos gen 2017 gravados</t>
  </si>
  <si>
    <t>Participación - valor patrimonial</t>
  </si>
  <si>
    <t>Mas renta generada en 2017 por activos excluidos RP</t>
  </si>
  <si>
    <t>www.consultorcontable.com</t>
  </si>
  <si>
    <t>rentapn</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</si>
</sst>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 #,##0.00"/>
    <numFmt numFmtId="189" formatCode="#,##0.000"/>
    <numFmt numFmtId="190" formatCode="[$-240A]dddd\,\ dd&quot; de &quot;mmmm&quot; de &quot;yyyy"/>
    <numFmt numFmtId="191" formatCode="[$-240A]hh:mm:ss\ AM/PM"/>
    <numFmt numFmtId="192" formatCode="#,##0.0"/>
    <numFmt numFmtId="193" formatCode="[$-240A]dddd\,\ d\ &quot;de&quot;\ mmmm\ &quot;de&quot;\ yyyy"/>
    <numFmt numFmtId="194" formatCode="[$-240A]h:mm:ss\ AM/PM"/>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0000"/>
    <numFmt numFmtId="200" formatCode="0.0%"/>
    <numFmt numFmtId="201" formatCode="0.000%"/>
    <numFmt numFmtId="202" formatCode="0.0000%"/>
  </numFmts>
  <fonts count="89">
    <font>
      <sz val="10"/>
      <name val="Arial"/>
      <family val="0"/>
    </font>
    <font>
      <b/>
      <sz val="7"/>
      <name val="Times"/>
      <family val="0"/>
    </font>
    <font>
      <sz val="6"/>
      <name val="Arial"/>
      <family val="2"/>
    </font>
    <font>
      <b/>
      <sz val="10"/>
      <name val="Arial"/>
      <family val="2"/>
    </font>
    <font>
      <b/>
      <sz val="8"/>
      <name val="Arial"/>
      <family val="2"/>
    </font>
    <font>
      <b/>
      <sz val="9"/>
      <name val="Arial"/>
      <family val="2"/>
    </font>
    <font>
      <b/>
      <sz val="6"/>
      <name val="Arial"/>
      <family val="2"/>
    </font>
    <font>
      <sz val="5"/>
      <name val="Arial"/>
      <family val="2"/>
    </font>
    <font>
      <sz val="8"/>
      <name val="Arial"/>
      <family val="2"/>
    </font>
    <font>
      <b/>
      <sz val="13"/>
      <name val="Arial"/>
      <family val="2"/>
    </font>
    <font>
      <sz val="8"/>
      <name val="Tahoma"/>
      <family val="2"/>
    </font>
    <font>
      <b/>
      <sz val="10"/>
      <name val="Verdana"/>
      <family val="2"/>
    </font>
    <font>
      <sz val="10"/>
      <name val="Verdana"/>
      <family val="2"/>
    </font>
    <font>
      <sz val="7"/>
      <name val="Arial"/>
      <family val="2"/>
    </font>
    <font>
      <b/>
      <sz val="30"/>
      <color indexed="9"/>
      <name val="Arial"/>
      <family val="2"/>
    </font>
    <font>
      <b/>
      <sz val="7"/>
      <name val="Arial"/>
      <family val="2"/>
    </font>
    <font>
      <sz val="7.5"/>
      <name val="Arial"/>
      <family val="2"/>
    </font>
    <font>
      <b/>
      <sz val="9"/>
      <name val="Times"/>
      <family val="0"/>
    </font>
    <font>
      <b/>
      <sz val="7.5"/>
      <name val="Arial"/>
      <family val="2"/>
    </font>
    <font>
      <i/>
      <sz val="10"/>
      <name val="Arial"/>
      <family val="2"/>
    </font>
    <font>
      <sz val="11"/>
      <name val="Arial"/>
      <family val="2"/>
    </font>
    <font>
      <b/>
      <sz val="11"/>
      <name val="Californian FB"/>
      <family val="1"/>
    </font>
    <font>
      <b/>
      <sz val="11"/>
      <name val="Verdana"/>
      <family val="2"/>
    </font>
    <font>
      <sz val="11"/>
      <name val="Verdana"/>
      <family val="2"/>
    </font>
    <font>
      <i/>
      <sz val="11"/>
      <name val="Arial"/>
      <family val="2"/>
    </font>
    <font>
      <i/>
      <sz val="11"/>
      <name val="Verdana"/>
      <family val="2"/>
    </font>
    <font>
      <b/>
      <sz val="11"/>
      <name val="Arial"/>
      <family val="2"/>
    </font>
    <font>
      <b/>
      <sz val="10"/>
      <color indexed="36"/>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family val="2"/>
    </font>
    <font>
      <sz val="10"/>
      <color indexed="8"/>
      <name val="Arial"/>
      <family val="2"/>
    </font>
    <font>
      <sz val="11"/>
      <color indexed="8"/>
      <name val="Arial"/>
      <family val="2"/>
    </font>
    <font>
      <b/>
      <sz val="11"/>
      <color indexed="8"/>
      <name val="Arial"/>
      <family val="2"/>
    </font>
    <font>
      <sz val="5"/>
      <color indexed="17"/>
      <name val="Arial"/>
      <family val="2"/>
    </font>
    <font>
      <sz val="5.5"/>
      <color indexed="17"/>
      <name val="Arial"/>
      <family val="2"/>
    </font>
    <font>
      <sz val="6"/>
      <color indexed="10"/>
      <name val="Arial"/>
      <family val="2"/>
    </font>
    <font>
      <b/>
      <sz val="12"/>
      <color indexed="17"/>
      <name val="Arial"/>
      <family val="2"/>
    </font>
    <font>
      <sz val="10"/>
      <color indexed="57"/>
      <name val="Arial"/>
      <family val="2"/>
    </font>
    <font>
      <sz val="10"/>
      <color indexed="10"/>
      <name val="Arial"/>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sz val="10"/>
      <color theme="1"/>
      <name val="Arial"/>
      <family val="2"/>
    </font>
    <font>
      <b/>
      <sz val="10"/>
      <color theme="7"/>
      <name val="Arial"/>
      <family val="2"/>
    </font>
    <font>
      <b/>
      <sz val="10"/>
      <color rgb="FF7030A0"/>
      <name val="Arial"/>
      <family val="2"/>
    </font>
    <font>
      <sz val="11"/>
      <color theme="1"/>
      <name val="Arial"/>
      <family val="2"/>
    </font>
    <font>
      <b/>
      <sz val="11"/>
      <color theme="1"/>
      <name val="Arial"/>
      <family val="2"/>
    </font>
    <font>
      <sz val="10"/>
      <color rgb="FF329044"/>
      <name val="Arial"/>
      <family val="2"/>
    </font>
    <font>
      <b/>
      <sz val="30"/>
      <color theme="0"/>
      <name val="Arial"/>
      <family val="2"/>
    </font>
    <font>
      <b/>
      <sz val="12"/>
      <color rgb="FF00B050"/>
      <name val="Arial"/>
      <family val="2"/>
    </font>
    <font>
      <sz val="6"/>
      <color rgb="FFFF0000"/>
      <name val="Arial"/>
      <family val="2"/>
    </font>
    <font>
      <sz val="5.5"/>
      <color rgb="FF008000"/>
      <name val="Arial"/>
      <family val="2"/>
    </font>
    <font>
      <sz val="5"/>
      <color rgb="FF008000"/>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rgb="FF329044"/>
        <bgColor indexed="64"/>
      </patternFill>
    </fill>
    <fill>
      <patternFill patternType="solid">
        <fgColor indexed="42"/>
        <bgColor indexed="64"/>
      </patternFill>
    </fill>
    <fill>
      <patternFill patternType="gray0625">
        <fgColor rgb="FFCCFFCC"/>
        <bgColor theme="6" tint="0.7999500036239624"/>
      </patternFill>
    </fill>
  </fills>
  <borders count="1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color rgb="FF329044"/>
      </left>
      <right style="thin">
        <color rgb="FF329044"/>
      </right>
      <top style="medium">
        <color rgb="FF00B050"/>
      </top>
      <bottom style="thin">
        <color rgb="FF329044"/>
      </bottom>
    </border>
    <border>
      <left>
        <color indexed="63"/>
      </left>
      <right>
        <color indexed="63"/>
      </right>
      <top style="medium">
        <color rgb="FF00B050"/>
      </top>
      <bottom>
        <color indexed="63"/>
      </bottom>
    </border>
    <border>
      <left>
        <color indexed="63"/>
      </left>
      <right style="medium">
        <color rgb="FF00B050"/>
      </right>
      <top style="medium">
        <color rgb="FF00B050"/>
      </top>
      <bottom>
        <color indexed="63"/>
      </bottom>
    </border>
    <border>
      <left style="medium">
        <color rgb="FF00B050"/>
      </left>
      <right style="medium">
        <color rgb="FF00B050"/>
      </right>
      <top>
        <color indexed="63"/>
      </top>
      <bottom style="medium">
        <color rgb="FF00B050"/>
      </bottom>
    </border>
    <border>
      <left style="medium">
        <color rgb="FF00B050"/>
      </left>
      <right style="thin">
        <color rgb="FF00B050"/>
      </right>
      <top>
        <color indexed="63"/>
      </top>
      <bottom style="medium">
        <color rgb="FF00B050"/>
      </bottom>
    </border>
    <border>
      <left style="thin">
        <color rgb="FF00B050"/>
      </left>
      <right style="thin">
        <color rgb="FF00B050"/>
      </right>
      <top>
        <color indexed="63"/>
      </top>
      <bottom style="medium">
        <color rgb="FF00B050"/>
      </bottom>
    </border>
    <border>
      <left style="medium">
        <color rgb="FF00B050"/>
      </left>
      <right>
        <color indexed="63"/>
      </right>
      <top style="medium">
        <color rgb="FF00B050"/>
      </top>
      <bottom>
        <color indexed="63"/>
      </bottom>
    </border>
    <border>
      <left style="medium">
        <color rgb="FF00B050"/>
      </left>
      <right>
        <color indexed="63"/>
      </right>
      <top>
        <color indexed="63"/>
      </top>
      <bottom>
        <color indexed="63"/>
      </bottom>
    </border>
    <border>
      <left>
        <color indexed="63"/>
      </left>
      <right style="medium">
        <color rgb="FF00B050"/>
      </right>
      <top>
        <color indexed="63"/>
      </top>
      <bottom>
        <color indexed="63"/>
      </bottom>
    </border>
    <border>
      <left style="medium">
        <color rgb="FF00B050"/>
      </left>
      <right>
        <color indexed="63"/>
      </right>
      <top>
        <color indexed="63"/>
      </top>
      <bottom style="medium">
        <color rgb="FF00B050"/>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style="medium">
        <color rgb="FF00B050"/>
      </left>
      <right style="medium">
        <color rgb="FF00B050"/>
      </right>
      <top>
        <color indexed="63"/>
      </top>
      <bottom>
        <color indexed="63"/>
      </bottom>
    </border>
    <border>
      <left style="medium">
        <color rgb="FF00B050"/>
      </left>
      <right style="medium">
        <color rgb="FF00B050"/>
      </right>
      <top style="medium">
        <color rgb="FF00B050"/>
      </top>
      <bottom>
        <color indexed="63"/>
      </bottom>
    </border>
    <border>
      <left style="medium">
        <color rgb="FF00B050"/>
      </left>
      <right style="medium">
        <color rgb="FF00B050"/>
      </right>
      <top style="medium">
        <color rgb="FF00B050"/>
      </top>
      <bottom style="medium">
        <color rgb="FF00B050"/>
      </bottom>
    </border>
    <border>
      <left style="thin"/>
      <right style="thin"/>
      <top style="thin"/>
      <bottom style="thin"/>
    </border>
    <border>
      <left>
        <color indexed="63"/>
      </left>
      <right>
        <color indexed="63"/>
      </right>
      <top style="medium">
        <color rgb="FF00B050"/>
      </top>
      <bottom style="medium">
        <color rgb="FF00B050"/>
      </bottom>
    </border>
    <border>
      <left>
        <color indexed="63"/>
      </left>
      <right>
        <color indexed="63"/>
      </right>
      <top>
        <color indexed="63"/>
      </top>
      <bottom style="medium"/>
    </border>
    <border>
      <left style="medium"/>
      <right style="medium"/>
      <top style="thin"/>
      <bottom style="thin"/>
    </border>
    <border>
      <left style="thin"/>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thin"/>
      <bottom style="medium"/>
    </border>
    <border>
      <left>
        <color indexed="63"/>
      </left>
      <right style="medium"/>
      <top style="thin"/>
      <bottom style="mediu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medium"/>
    </border>
    <border>
      <left style="thin"/>
      <right>
        <color indexed="63"/>
      </right>
      <top>
        <color indexed="63"/>
      </top>
      <bottom style="thin"/>
    </border>
    <border>
      <left style="thin"/>
      <right style="medium"/>
      <top style="thin"/>
      <bottom style="thin"/>
    </border>
    <border>
      <left>
        <color indexed="63"/>
      </left>
      <right style="medium"/>
      <top style="thin"/>
      <bottom style="thin"/>
    </border>
    <border>
      <left style="thin"/>
      <right style="medium"/>
      <top style="thin"/>
      <bottom style="medium"/>
    </border>
    <border>
      <left style="medium"/>
      <right>
        <color indexed="63"/>
      </right>
      <top style="thin"/>
      <bottom style="thin"/>
    </border>
    <border>
      <left style="medium"/>
      <right style="medium"/>
      <top>
        <color indexed="63"/>
      </top>
      <bottom style="thin"/>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style="thin"/>
    </border>
    <border>
      <left style="thin"/>
      <right style="thin"/>
      <top style="thin"/>
      <bottom>
        <color indexed="63"/>
      </bottom>
    </border>
    <border>
      <left style="thin"/>
      <right style="thin"/>
      <top style="thin"/>
      <bottom style="medium"/>
    </border>
    <border>
      <left style="medium"/>
      <right>
        <color indexed="63"/>
      </right>
      <top style="medium"/>
      <bottom style="thin"/>
    </border>
    <border>
      <left>
        <color indexed="63"/>
      </left>
      <right style="medium"/>
      <top>
        <color indexed="63"/>
      </top>
      <bottom style="thin"/>
    </border>
    <border>
      <left style="thin"/>
      <right style="medium">
        <color rgb="FF00B050"/>
      </right>
      <top style="thin"/>
      <bottom style="thin"/>
    </border>
    <border>
      <left style="medium">
        <color rgb="FF00B050"/>
      </left>
      <right>
        <color indexed="63"/>
      </right>
      <top style="medium">
        <color rgb="FF00B050"/>
      </top>
      <bottom style="medium">
        <color rgb="FF00B050"/>
      </bottom>
    </border>
    <border>
      <left>
        <color indexed="63"/>
      </left>
      <right style="medium">
        <color rgb="FF00B050"/>
      </right>
      <top style="medium">
        <color rgb="FF00B050"/>
      </top>
      <bottom style="medium">
        <color rgb="FF00B050"/>
      </bottom>
    </border>
    <border>
      <left style="medium">
        <color rgb="FF329044"/>
      </left>
      <right style="thin">
        <color rgb="FF329044"/>
      </right>
      <top style="medium">
        <color rgb="FF329044"/>
      </top>
      <bottom style="thin">
        <color rgb="FF329044"/>
      </bottom>
    </border>
    <border>
      <left style="thin">
        <color rgb="FF329044"/>
      </left>
      <right style="thin">
        <color rgb="FF329044"/>
      </right>
      <top style="medium">
        <color rgb="FF329044"/>
      </top>
      <bottom style="thin">
        <color rgb="FF329044"/>
      </bottom>
    </border>
    <border>
      <left style="thin">
        <color rgb="FF329044"/>
      </left>
      <right style="medium">
        <color rgb="FF329044"/>
      </right>
      <top style="medium">
        <color rgb="FF329044"/>
      </top>
      <bottom style="thin">
        <color rgb="FF329044"/>
      </bottom>
    </border>
    <border>
      <left style="medium">
        <color rgb="FF329044"/>
      </left>
      <right style="thin">
        <color rgb="FF329044"/>
      </right>
      <top style="thin">
        <color rgb="FF329044"/>
      </top>
      <bottom style="thin">
        <color rgb="FF329044"/>
      </bottom>
    </border>
    <border>
      <left style="thin">
        <color rgb="FF329044"/>
      </left>
      <right style="thin">
        <color rgb="FF329044"/>
      </right>
      <top style="thin">
        <color rgb="FF329044"/>
      </top>
      <bottom style="thin">
        <color rgb="FF329044"/>
      </bottom>
    </border>
    <border>
      <left style="thin">
        <color rgb="FF329044"/>
      </left>
      <right style="medium">
        <color rgb="FF329044"/>
      </right>
      <top style="thin">
        <color rgb="FF329044"/>
      </top>
      <bottom style="thin">
        <color rgb="FF329044"/>
      </bottom>
    </border>
    <border>
      <left style="medium">
        <color rgb="FF329044"/>
      </left>
      <right style="thin">
        <color rgb="FF329044"/>
      </right>
      <top style="thin">
        <color rgb="FF329044"/>
      </top>
      <bottom style="medium">
        <color rgb="FF329044"/>
      </bottom>
    </border>
    <border>
      <left style="thin">
        <color rgb="FF329044"/>
      </left>
      <right style="thin">
        <color rgb="FF329044"/>
      </right>
      <top style="thin">
        <color rgb="FF329044"/>
      </top>
      <bottom style="medium">
        <color rgb="FF329044"/>
      </bottom>
    </border>
    <border>
      <left style="thin">
        <color rgb="FF329044"/>
      </left>
      <right style="medium">
        <color rgb="FF329044"/>
      </right>
      <top style="thin">
        <color rgb="FF329044"/>
      </top>
      <bottom style="medium">
        <color rgb="FF329044"/>
      </bottom>
    </border>
    <border>
      <left style="thin">
        <color rgb="FF329044"/>
      </left>
      <right style="thin">
        <color rgb="FF329044"/>
      </right>
      <top style="medium">
        <color rgb="FF00B050"/>
      </top>
      <bottom>
        <color indexed="63"/>
      </bottom>
    </border>
    <border>
      <left style="thin">
        <color rgb="FF329044"/>
      </left>
      <right>
        <color indexed="63"/>
      </right>
      <top style="medium">
        <color rgb="FF00B050"/>
      </top>
      <bottom>
        <color indexed="63"/>
      </bottom>
    </border>
    <border>
      <left style="thin">
        <color rgb="FF329044"/>
      </left>
      <right style="medium">
        <color rgb="FF00B050"/>
      </right>
      <top style="medium">
        <color rgb="FF00B050"/>
      </top>
      <bottom>
        <color indexed="63"/>
      </bottom>
    </border>
    <border>
      <left style="medium">
        <color rgb="FF00B050"/>
      </left>
      <right style="thin">
        <color rgb="FF329044"/>
      </right>
      <top>
        <color indexed="63"/>
      </top>
      <bottom style="thin">
        <color rgb="FF329044"/>
      </bottom>
    </border>
    <border>
      <left style="thin">
        <color rgb="FF329044"/>
      </left>
      <right style="thin">
        <color rgb="FF329044"/>
      </right>
      <top>
        <color indexed="63"/>
      </top>
      <bottom style="thin">
        <color rgb="FF329044"/>
      </bottom>
    </border>
    <border>
      <left style="thin">
        <color rgb="FF329044"/>
      </left>
      <right>
        <color indexed="63"/>
      </right>
      <top>
        <color indexed="63"/>
      </top>
      <bottom style="thin">
        <color rgb="FF329044"/>
      </bottom>
    </border>
    <border>
      <left style="thin">
        <color rgb="FF329044"/>
      </left>
      <right style="medium">
        <color rgb="FF00B050"/>
      </right>
      <top>
        <color indexed="63"/>
      </top>
      <bottom style="thin">
        <color rgb="FF329044"/>
      </bottom>
    </border>
    <border>
      <left style="medium">
        <color rgb="FF00B050"/>
      </left>
      <right style="thin">
        <color rgb="FF329044"/>
      </right>
      <top style="thin">
        <color rgb="FF329044"/>
      </top>
      <bottom style="thin">
        <color rgb="FF329044"/>
      </bottom>
    </border>
    <border>
      <left style="thin">
        <color rgb="FF329044"/>
      </left>
      <right>
        <color indexed="63"/>
      </right>
      <top style="thin">
        <color rgb="FF329044"/>
      </top>
      <bottom style="thin">
        <color rgb="FF329044"/>
      </bottom>
    </border>
    <border>
      <left style="thin">
        <color rgb="FF329044"/>
      </left>
      <right style="medium">
        <color rgb="FF00B050"/>
      </right>
      <top style="thin">
        <color rgb="FF329044"/>
      </top>
      <bottom style="thin">
        <color rgb="FF329044"/>
      </bottom>
    </border>
    <border>
      <left style="medium">
        <color rgb="FF00B050"/>
      </left>
      <right style="thin">
        <color rgb="FF329044"/>
      </right>
      <top style="thin">
        <color rgb="FF329044"/>
      </top>
      <bottom style="medium">
        <color rgb="FF00B050"/>
      </bottom>
    </border>
    <border>
      <left style="thin">
        <color rgb="FF329044"/>
      </left>
      <right style="thin">
        <color rgb="FF329044"/>
      </right>
      <top style="thin">
        <color rgb="FF329044"/>
      </top>
      <bottom style="medium">
        <color rgb="FF00B050"/>
      </bottom>
    </border>
    <border>
      <left style="thin">
        <color rgb="FF329044"/>
      </left>
      <right>
        <color indexed="63"/>
      </right>
      <top style="thin">
        <color rgb="FF329044"/>
      </top>
      <bottom style="medium">
        <color rgb="FF00B050"/>
      </bottom>
    </border>
    <border>
      <left style="thin">
        <color rgb="FF329044"/>
      </left>
      <right style="medium">
        <color rgb="FF00B050"/>
      </right>
      <top style="thin">
        <color rgb="FF329044"/>
      </top>
      <bottom style="medium">
        <color rgb="FF00B050"/>
      </bottom>
    </border>
    <border>
      <left style="thin">
        <color rgb="FF329044"/>
      </left>
      <right>
        <color indexed="63"/>
      </right>
      <top style="medium">
        <color rgb="FF329044"/>
      </top>
      <bottom style="thin">
        <color rgb="FF329044"/>
      </bottom>
    </border>
    <border>
      <left style="thin">
        <color rgb="FF329044"/>
      </left>
      <right>
        <color indexed="63"/>
      </right>
      <top style="thin">
        <color rgb="FF329044"/>
      </top>
      <bottom style="medium">
        <color rgb="FF329044"/>
      </bottom>
    </border>
    <border>
      <left>
        <color indexed="63"/>
      </left>
      <right style="thin">
        <color rgb="FF329044"/>
      </right>
      <top style="medium">
        <color rgb="FF329044"/>
      </top>
      <bottom style="thin">
        <color rgb="FF329044"/>
      </bottom>
    </border>
    <border>
      <left>
        <color indexed="63"/>
      </left>
      <right style="thin">
        <color rgb="FF329044"/>
      </right>
      <top style="thin">
        <color rgb="FF329044"/>
      </top>
      <bottom style="thin">
        <color rgb="FF329044"/>
      </bottom>
    </border>
    <border>
      <left>
        <color indexed="63"/>
      </left>
      <right style="thin">
        <color rgb="FF329044"/>
      </right>
      <top style="thin">
        <color rgb="FF329044"/>
      </top>
      <bottom style="medium">
        <color rgb="FF329044"/>
      </bottom>
    </border>
    <border>
      <left style="medium">
        <color rgb="FF00B050"/>
      </left>
      <right style="thin">
        <color rgb="FF329044"/>
      </right>
      <top style="medium">
        <color rgb="FF00B050"/>
      </top>
      <bottom>
        <color indexed="63"/>
      </bottom>
    </border>
    <border>
      <left style="medium"/>
      <right>
        <color indexed="63"/>
      </right>
      <top>
        <color indexed="63"/>
      </top>
      <bottom style="thin"/>
    </border>
    <border>
      <left>
        <color indexed="63"/>
      </left>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style="mediu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6" fillId="29" borderId="1" applyNumberFormat="0" applyAlignment="0" applyProtection="0"/>
    <xf numFmtId="0" fontId="67" fillId="0" borderId="0" applyNumberFormat="0" applyFill="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5" fillId="0" borderId="8" applyNumberFormat="0" applyFill="0" applyAlignment="0" applyProtection="0"/>
    <xf numFmtId="0" fontId="75" fillId="0" borderId="9" applyNumberFormat="0" applyFill="0" applyAlignment="0" applyProtection="0"/>
  </cellStyleXfs>
  <cellXfs count="1050">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Border="1" applyAlignment="1" applyProtection="1">
      <alignment horizontal="center" vertical="center"/>
      <protection locked="0"/>
    </xf>
    <xf numFmtId="0" fontId="0" fillId="33" borderId="0" xfId="0" applyFont="1" applyFill="1" applyAlignment="1">
      <alignment/>
    </xf>
    <xf numFmtId="3" fontId="3" fillId="33" borderId="0" xfId="0" applyNumberFormat="1" applyFont="1" applyFill="1" applyBorder="1" applyAlignment="1" applyProtection="1">
      <alignment horizontal="right" vertical="center"/>
      <protection locked="0"/>
    </xf>
    <xf numFmtId="0" fontId="0" fillId="0" borderId="10" xfId="0" applyBorder="1" applyAlignment="1">
      <alignment/>
    </xf>
    <xf numFmtId="0" fontId="0" fillId="0" borderId="0" xfId="0" applyBorder="1" applyAlignment="1">
      <alignment/>
    </xf>
    <xf numFmtId="0" fontId="0" fillId="0" borderId="11" xfId="0" applyBorder="1" applyAlignment="1">
      <alignment/>
    </xf>
    <xf numFmtId="3" fontId="0" fillId="0" borderId="0" xfId="0" applyNumberFormat="1" applyBorder="1" applyAlignment="1">
      <alignment/>
    </xf>
    <xf numFmtId="3" fontId="0" fillId="0" borderId="0" xfId="0" applyNumberFormat="1" applyAlignment="1">
      <alignment/>
    </xf>
    <xf numFmtId="0" fontId="12" fillId="0" borderId="12" xfId="0" applyFont="1" applyBorder="1" applyAlignment="1">
      <alignment/>
    </xf>
    <xf numFmtId="0" fontId="11" fillId="0" borderId="13" xfId="0" applyFont="1" applyBorder="1" applyAlignment="1">
      <alignment/>
    </xf>
    <xf numFmtId="0" fontId="12" fillId="0" borderId="13" xfId="0" applyFont="1" applyBorder="1" applyAlignment="1">
      <alignment/>
    </xf>
    <xf numFmtId="0" fontId="12" fillId="0" borderId="14" xfId="0" applyFont="1" applyBorder="1" applyAlignment="1">
      <alignment/>
    </xf>
    <xf numFmtId="0" fontId="11" fillId="0" borderId="15" xfId="0" applyFont="1" applyBorder="1" applyAlignment="1">
      <alignment horizontal="center"/>
    </xf>
    <xf numFmtId="3" fontId="12" fillId="0" borderId="12" xfId="0" applyNumberFormat="1" applyFont="1" applyBorder="1" applyAlignment="1">
      <alignment/>
    </xf>
    <xf numFmtId="3" fontId="12" fillId="0" borderId="13" xfId="0" applyNumberFormat="1" applyFont="1" applyBorder="1" applyAlignment="1">
      <alignment/>
    </xf>
    <xf numFmtId="10" fontId="12" fillId="0" borderId="13" xfId="0" applyNumberFormat="1" applyFont="1" applyBorder="1" applyAlignment="1">
      <alignment/>
    </xf>
    <xf numFmtId="0" fontId="12" fillId="0" borderId="15" xfId="0" applyFont="1" applyBorder="1" applyAlignment="1">
      <alignment/>
    </xf>
    <xf numFmtId="3" fontId="12" fillId="0" borderId="15" xfId="0" applyNumberFormat="1" applyFont="1" applyBorder="1" applyAlignment="1">
      <alignment/>
    </xf>
    <xf numFmtId="3" fontId="12" fillId="0" borderId="14" xfId="0" applyNumberFormat="1" applyFont="1" applyBorder="1" applyAlignment="1">
      <alignment/>
    </xf>
    <xf numFmtId="3" fontId="12" fillId="0" borderId="16" xfId="0" applyNumberFormat="1" applyFont="1" applyBorder="1" applyAlignment="1">
      <alignment/>
    </xf>
    <xf numFmtId="3" fontId="12" fillId="0" borderId="17" xfId="0" applyNumberFormat="1" applyFont="1" applyBorder="1" applyAlignment="1">
      <alignment/>
    </xf>
    <xf numFmtId="3" fontId="12" fillId="0" borderId="18" xfId="0" applyNumberFormat="1" applyFont="1" applyBorder="1" applyAlignment="1">
      <alignment/>
    </xf>
    <xf numFmtId="3" fontId="12" fillId="0" borderId="12" xfId="0" applyNumberFormat="1" applyFont="1" applyBorder="1" applyAlignment="1">
      <alignment vertical="center" wrapText="1"/>
    </xf>
    <xf numFmtId="0" fontId="0" fillId="0" borderId="19" xfId="0" applyBorder="1" applyAlignment="1">
      <alignment/>
    </xf>
    <xf numFmtId="0" fontId="0" fillId="0" borderId="17" xfId="0" applyBorder="1" applyAlignment="1">
      <alignment/>
    </xf>
    <xf numFmtId="0" fontId="3" fillId="0" borderId="0" xfId="0" applyFont="1" applyFill="1" applyBorder="1" applyAlignment="1">
      <alignment vertical="center" wrapText="1"/>
    </xf>
    <xf numFmtId="3" fontId="0" fillId="0" borderId="17" xfId="0" applyNumberFormat="1" applyBorder="1" applyAlignment="1">
      <alignment/>
    </xf>
    <xf numFmtId="3" fontId="0" fillId="0" borderId="0" xfId="0" applyNumberFormat="1" applyFont="1" applyAlignment="1">
      <alignment/>
    </xf>
    <xf numFmtId="0" fontId="2" fillId="34" borderId="0" xfId="0" applyFont="1" applyFill="1" applyBorder="1" applyAlignment="1" applyProtection="1">
      <alignment vertical="top"/>
      <protection/>
    </xf>
    <xf numFmtId="0" fontId="9" fillId="34" borderId="0" xfId="0" applyFont="1" applyFill="1" applyBorder="1" applyAlignment="1" applyProtection="1">
      <alignment vertical="center"/>
      <protection/>
    </xf>
    <xf numFmtId="0" fontId="3" fillId="34" borderId="0" xfId="0" applyFont="1" applyFill="1" applyBorder="1" applyAlignment="1" applyProtection="1">
      <alignment horizontal="center" vertical="center" wrapText="1"/>
      <protection/>
    </xf>
    <xf numFmtId="0" fontId="0" fillId="34" borderId="0" xfId="0" applyFont="1" applyFill="1" applyAlignment="1">
      <alignment/>
    </xf>
    <xf numFmtId="0" fontId="0" fillId="34" borderId="20" xfId="0" applyFont="1" applyFill="1" applyBorder="1" applyAlignment="1">
      <alignment/>
    </xf>
    <xf numFmtId="0" fontId="13" fillId="35" borderId="21" xfId="0" applyFont="1" applyFill="1" applyBorder="1" applyAlignment="1" applyProtection="1">
      <alignment horizontal="left" vertical="top"/>
      <protection/>
    </xf>
    <xf numFmtId="0" fontId="13" fillId="35" borderId="22" xfId="0" applyFont="1" applyFill="1" applyBorder="1" applyAlignment="1" applyProtection="1">
      <alignment horizontal="center" vertical="top"/>
      <protection/>
    </xf>
    <xf numFmtId="0" fontId="2" fillId="35" borderId="21" xfId="0" applyFont="1" applyFill="1" applyBorder="1" applyAlignment="1" applyProtection="1">
      <alignment vertical="top"/>
      <protection/>
    </xf>
    <xf numFmtId="0" fontId="13" fillId="35" borderId="21" xfId="0" applyFont="1" applyFill="1" applyBorder="1" applyAlignment="1" applyProtection="1">
      <alignment vertical="top"/>
      <protection/>
    </xf>
    <xf numFmtId="0" fontId="0" fillId="35" borderId="21" xfId="0" applyFont="1" applyFill="1" applyBorder="1" applyAlignment="1">
      <alignment/>
    </xf>
    <xf numFmtId="0" fontId="2" fillId="35" borderId="22" xfId="0" applyFont="1" applyFill="1" applyBorder="1" applyAlignment="1" applyProtection="1">
      <alignment vertical="top"/>
      <protection/>
    </xf>
    <xf numFmtId="3" fontId="3" fillId="34" borderId="23" xfId="0" applyNumberFormat="1" applyFont="1" applyFill="1" applyBorder="1" applyAlignment="1" applyProtection="1">
      <alignment/>
      <protection locked="0"/>
    </xf>
    <xf numFmtId="3" fontId="3" fillId="34" borderId="24" xfId="0" applyNumberFormat="1" applyFont="1" applyFill="1" applyBorder="1" applyAlignment="1" applyProtection="1">
      <alignment/>
      <protection locked="0"/>
    </xf>
    <xf numFmtId="3" fontId="3" fillId="34" borderId="25" xfId="0" applyNumberFormat="1" applyFont="1" applyFill="1" applyBorder="1" applyAlignment="1" applyProtection="1">
      <alignment/>
      <protection locked="0"/>
    </xf>
    <xf numFmtId="0" fontId="8" fillId="34" borderId="26" xfId="0" applyFont="1" applyFill="1" applyBorder="1" applyAlignment="1" applyProtection="1">
      <alignment horizontal="center" vertical="center"/>
      <protection hidden="1"/>
    </xf>
    <xf numFmtId="0" fontId="8" fillId="34" borderId="27" xfId="0" applyFont="1" applyFill="1" applyBorder="1" applyAlignment="1" applyProtection="1">
      <alignment horizontal="center" vertical="center"/>
      <protection hidden="1"/>
    </xf>
    <xf numFmtId="0" fontId="8" fillId="34" borderId="27" xfId="0" applyFont="1" applyFill="1" applyBorder="1" applyAlignment="1" applyProtection="1">
      <alignment horizontal="center" vertical="center"/>
      <protection/>
    </xf>
    <xf numFmtId="0" fontId="8" fillId="35" borderId="26" xfId="0" applyFont="1" applyFill="1" applyBorder="1" applyAlignment="1" applyProtection="1">
      <alignment horizontal="center" vertical="center"/>
      <protection hidden="1"/>
    </xf>
    <xf numFmtId="0" fontId="8" fillId="35" borderId="27" xfId="0" applyFont="1" applyFill="1" applyBorder="1" applyAlignment="1" applyProtection="1">
      <alignment horizontal="center" vertical="center"/>
      <protection hidden="1"/>
    </xf>
    <xf numFmtId="0" fontId="8" fillId="35" borderId="27" xfId="0" applyFont="1" applyFill="1" applyBorder="1" applyAlignment="1" applyProtection="1">
      <alignment horizontal="center" vertical="center"/>
      <protection/>
    </xf>
    <xf numFmtId="0" fontId="4" fillId="35" borderId="27" xfId="0" applyFont="1" applyFill="1" applyBorder="1" applyAlignment="1" applyProtection="1">
      <alignment horizontal="center" vertical="center"/>
      <protection hidden="1"/>
    </xf>
    <xf numFmtId="0" fontId="0" fillId="35" borderId="0" xfId="0" applyFont="1" applyFill="1" applyBorder="1" applyAlignment="1" applyProtection="1">
      <alignment vertical="center"/>
      <protection/>
    </xf>
    <xf numFmtId="0" fontId="0" fillId="35" borderId="0" xfId="0" applyFont="1" applyFill="1" applyBorder="1" applyAlignment="1" applyProtection="1">
      <alignment horizontal="center" vertical="center"/>
      <protection/>
    </xf>
    <xf numFmtId="0" fontId="0" fillId="35" borderId="28" xfId="0" applyFont="1" applyFill="1" applyBorder="1" applyAlignment="1" applyProtection="1">
      <alignment vertical="center"/>
      <protection/>
    </xf>
    <xf numFmtId="0" fontId="4" fillId="35" borderId="27" xfId="0" applyFont="1" applyFill="1" applyBorder="1" applyAlignment="1" applyProtection="1">
      <alignment vertical="center" textRotation="90"/>
      <protection/>
    </xf>
    <xf numFmtId="0" fontId="0" fillId="35" borderId="28" xfId="0" applyFont="1" applyFill="1" applyBorder="1" applyAlignment="1" applyProtection="1">
      <alignment horizontal="center" vertical="center"/>
      <protection/>
    </xf>
    <xf numFmtId="0" fontId="4" fillId="35" borderId="29" xfId="0" applyFont="1" applyFill="1" applyBorder="1" applyAlignment="1" applyProtection="1">
      <alignment vertical="center" textRotation="90"/>
      <protection/>
    </xf>
    <xf numFmtId="0" fontId="2" fillId="35" borderId="30" xfId="0" applyFont="1" applyFill="1" applyBorder="1" applyAlignment="1" applyProtection="1">
      <alignment/>
      <protection/>
    </xf>
    <xf numFmtId="0" fontId="2" fillId="35" borderId="31" xfId="0" applyFont="1" applyFill="1" applyBorder="1" applyAlignment="1" applyProtection="1">
      <alignment/>
      <protection/>
    </xf>
    <xf numFmtId="0" fontId="2" fillId="34" borderId="28" xfId="0" applyFont="1" applyFill="1" applyBorder="1" applyAlignment="1" applyProtection="1">
      <alignment vertical="top"/>
      <protection/>
    </xf>
    <xf numFmtId="0" fontId="0" fillId="34" borderId="27" xfId="0" applyFont="1" applyFill="1" applyBorder="1" applyAlignment="1" applyProtection="1">
      <alignment vertical="center"/>
      <protection/>
    </xf>
    <xf numFmtId="0" fontId="0" fillId="34" borderId="27" xfId="0" applyFont="1" applyFill="1" applyBorder="1" applyAlignment="1" applyProtection="1">
      <alignment horizontal="center" vertical="center"/>
      <protection/>
    </xf>
    <xf numFmtId="0" fontId="2" fillId="34" borderId="29" xfId="0" applyFont="1" applyFill="1" applyBorder="1" applyAlignment="1" applyProtection="1">
      <alignment/>
      <protection/>
    </xf>
    <xf numFmtId="0" fontId="0" fillId="35" borderId="27" xfId="0" applyFont="1" applyFill="1" applyBorder="1" applyAlignment="1" applyProtection="1">
      <alignment vertical="center"/>
      <protection/>
    </xf>
    <xf numFmtId="3" fontId="3" fillId="35" borderId="28" xfId="0" applyNumberFormat="1" applyFont="1" applyFill="1" applyBorder="1" applyAlignment="1" applyProtection="1">
      <alignment vertical="center"/>
      <protection/>
    </xf>
    <xf numFmtId="0" fontId="0" fillId="35" borderId="29" xfId="0" applyFont="1" applyFill="1" applyBorder="1" applyAlignment="1" applyProtection="1">
      <alignment vertical="center"/>
      <protection/>
    </xf>
    <xf numFmtId="0" fontId="0" fillId="35" borderId="30" xfId="0" applyFont="1" applyFill="1" applyBorder="1" applyAlignment="1" applyProtection="1">
      <alignment vertical="center"/>
      <protection/>
    </xf>
    <xf numFmtId="0" fontId="0" fillId="35" borderId="31" xfId="0" applyFont="1" applyFill="1" applyBorder="1" applyAlignment="1" applyProtection="1">
      <alignment vertical="center"/>
      <protection/>
    </xf>
    <xf numFmtId="0" fontId="0" fillId="0" borderId="0" xfId="0" applyFill="1" applyBorder="1" applyAlignment="1">
      <alignment/>
    </xf>
    <xf numFmtId="49" fontId="2" fillId="33" borderId="0" xfId="0" applyNumberFormat="1" applyFont="1" applyFill="1" applyBorder="1" applyAlignment="1" applyProtection="1">
      <alignment horizontal="right" vertical="center"/>
      <protection/>
    </xf>
    <xf numFmtId="0" fontId="6" fillId="35" borderId="0" xfId="0" applyFont="1" applyFill="1" applyBorder="1" applyAlignment="1" applyProtection="1">
      <alignment vertical="center" wrapText="1"/>
      <protection/>
    </xf>
    <xf numFmtId="0" fontId="6" fillId="35" borderId="28" xfId="0" applyFont="1" applyFill="1" applyBorder="1" applyAlignment="1" applyProtection="1">
      <alignment vertical="center" wrapText="1"/>
      <protection/>
    </xf>
    <xf numFmtId="0" fontId="6" fillId="35" borderId="27" xfId="0" applyFont="1" applyFill="1" applyBorder="1" applyAlignment="1" applyProtection="1">
      <alignment horizontal="left" vertical="center"/>
      <protection/>
    </xf>
    <xf numFmtId="0" fontId="6" fillId="35" borderId="0" xfId="0" applyFont="1" applyFill="1" applyBorder="1" applyAlignment="1" applyProtection="1">
      <alignment horizontal="left" vertical="center"/>
      <protection/>
    </xf>
    <xf numFmtId="0" fontId="6" fillId="35" borderId="28" xfId="0" applyFont="1" applyFill="1" applyBorder="1" applyAlignment="1" applyProtection="1">
      <alignment horizontal="left" vertical="center"/>
      <protection/>
    </xf>
    <xf numFmtId="0" fontId="0" fillId="34" borderId="0" xfId="0" applyFill="1" applyAlignment="1">
      <alignment/>
    </xf>
    <xf numFmtId="0" fontId="0" fillId="34" borderId="0" xfId="0" applyFill="1" applyBorder="1" applyAlignment="1">
      <alignment/>
    </xf>
    <xf numFmtId="0" fontId="4" fillId="34" borderId="0" xfId="0" applyFont="1" applyFill="1" applyBorder="1" applyAlignment="1" applyProtection="1">
      <alignment horizontal="center" vertical="center" wrapText="1"/>
      <protection hidden="1"/>
    </xf>
    <xf numFmtId="0" fontId="6" fillId="0" borderId="23" xfId="0" applyFont="1" applyFill="1" applyBorder="1" applyAlignment="1" applyProtection="1">
      <alignment vertical="center" wrapText="1"/>
      <protection/>
    </xf>
    <xf numFmtId="0" fontId="3" fillId="34" borderId="28" xfId="0" applyFont="1" applyFill="1" applyBorder="1" applyAlignment="1">
      <alignment horizontal="center" wrapText="1"/>
    </xf>
    <xf numFmtId="0" fontId="2" fillId="34" borderId="0" xfId="0" applyFont="1" applyFill="1" applyBorder="1" applyAlignment="1" applyProtection="1">
      <alignment horizontal="center" vertical="top"/>
      <protection/>
    </xf>
    <xf numFmtId="0" fontId="2" fillId="34" borderId="28" xfId="0" applyFont="1" applyFill="1" applyBorder="1" applyAlignment="1" applyProtection="1">
      <alignment horizontal="center" vertical="top"/>
      <protection/>
    </xf>
    <xf numFmtId="0" fontId="2" fillId="34" borderId="30" xfId="0" applyFont="1" applyFill="1" applyBorder="1" applyAlignment="1" applyProtection="1">
      <alignment horizontal="center"/>
      <protection/>
    </xf>
    <xf numFmtId="0" fontId="8" fillId="35" borderId="32" xfId="0" applyFont="1" applyFill="1" applyBorder="1" applyAlignment="1" applyProtection="1">
      <alignment horizontal="center" vertical="center"/>
      <protection/>
    </xf>
    <xf numFmtId="0" fontId="8" fillId="34" borderId="32" xfId="0" applyFont="1" applyFill="1" applyBorder="1" applyAlignment="1" applyProtection="1">
      <alignment horizontal="center" vertical="center"/>
      <protection hidden="1"/>
    </xf>
    <xf numFmtId="0" fontId="4" fillId="34" borderId="32" xfId="0" applyFont="1" applyFill="1" applyBorder="1" applyAlignment="1" applyProtection="1">
      <alignment horizontal="center" vertical="center"/>
      <protection hidden="1"/>
    </xf>
    <xf numFmtId="0" fontId="4" fillId="35" borderId="32" xfId="0" applyFont="1" applyFill="1" applyBorder="1" applyAlignment="1" applyProtection="1">
      <alignment horizontal="center" vertical="center"/>
      <protection hidden="1"/>
    </xf>
    <xf numFmtId="0" fontId="4" fillId="35" borderId="29" xfId="0" applyFont="1" applyFill="1" applyBorder="1" applyAlignment="1" applyProtection="1">
      <alignment horizontal="center" vertical="center"/>
      <protection hidden="1"/>
    </xf>
    <xf numFmtId="0" fontId="8" fillId="35" borderId="32" xfId="0" applyFont="1" applyFill="1" applyBorder="1" applyAlignment="1" applyProtection="1">
      <alignment horizontal="center" vertical="center"/>
      <protection hidden="1"/>
    </xf>
    <xf numFmtId="0" fontId="8" fillId="35" borderId="33" xfId="0" applyFont="1" applyFill="1" applyBorder="1" applyAlignment="1" applyProtection="1">
      <alignment horizontal="center" vertical="center"/>
      <protection hidden="1"/>
    </xf>
    <xf numFmtId="0" fontId="8" fillId="34" borderId="32" xfId="0" applyFont="1" applyFill="1" applyBorder="1" applyAlignment="1" applyProtection="1">
      <alignment horizontal="center" vertical="center" wrapText="1"/>
      <protection hidden="1"/>
    </xf>
    <xf numFmtId="0" fontId="8" fillId="0" borderId="32" xfId="0" applyFont="1" applyFill="1" applyBorder="1" applyAlignment="1" applyProtection="1">
      <alignment horizontal="center" vertical="center" wrapText="1"/>
      <protection hidden="1"/>
    </xf>
    <xf numFmtId="0" fontId="4" fillId="35" borderId="32" xfId="0" applyFont="1" applyFill="1" applyBorder="1" applyAlignment="1" applyProtection="1">
      <alignment horizontal="center" vertical="center" wrapText="1"/>
      <protection hidden="1"/>
    </xf>
    <xf numFmtId="0" fontId="4" fillId="35" borderId="33" xfId="0" applyFont="1" applyFill="1" applyBorder="1" applyAlignment="1" applyProtection="1">
      <alignment horizontal="center" vertical="center" wrapText="1"/>
      <protection hidden="1"/>
    </xf>
    <xf numFmtId="0" fontId="6" fillId="35" borderId="30" xfId="0" applyFont="1" applyFill="1" applyBorder="1" applyAlignment="1" applyProtection="1">
      <alignment horizontal="left" vertical="center"/>
      <protection/>
    </xf>
    <xf numFmtId="0" fontId="0" fillId="33" borderId="27" xfId="0" applyFill="1" applyBorder="1" applyAlignment="1">
      <alignment/>
    </xf>
    <xf numFmtId="3" fontId="3" fillId="34" borderId="34" xfId="0" applyNumberFormat="1" applyFont="1" applyFill="1" applyBorder="1" applyAlignment="1" applyProtection="1">
      <alignment/>
      <protection locked="0"/>
    </xf>
    <xf numFmtId="3" fontId="0" fillId="0" borderId="14" xfId="0" applyNumberFormat="1" applyBorder="1" applyAlignment="1">
      <alignment/>
    </xf>
    <xf numFmtId="3" fontId="0" fillId="0" borderId="35" xfId="0" applyNumberFormat="1" applyFont="1" applyBorder="1" applyAlignment="1">
      <alignment/>
    </xf>
    <xf numFmtId="3" fontId="3" fillId="0" borderId="35" xfId="0" applyNumberFormat="1" applyFont="1" applyBorder="1" applyAlignment="1">
      <alignment/>
    </xf>
    <xf numFmtId="3" fontId="4" fillId="34" borderId="0" xfId="0" applyNumberFormat="1" applyFont="1" applyFill="1" applyBorder="1" applyAlignment="1" applyProtection="1">
      <alignment horizontal="right" vertical="center"/>
      <protection/>
    </xf>
    <xf numFmtId="0" fontId="8" fillId="0" borderId="0" xfId="0" applyFont="1" applyFill="1" applyBorder="1" applyAlignment="1" applyProtection="1">
      <alignment vertical="center" wrapText="1"/>
      <protection/>
    </xf>
    <xf numFmtId="3" fontId="2" fillId="0" borderId="0" xfId="0" applyNumberFormat="1" applyFont="1" applyFill="1" applyBorder="1" applyAlignment="1" applyProtection="1">
      <alignment horizontal="center"/>
      <protection locked="0"/>
    </xf>
    <xf numFmtId="3" fontId="2" fillId="0" borderId="0" xfId="0" applyNumberFormat="1" applyFont="1" applyFill="1" applyBorder="1" applyAlignment="1" applyProtection="1">
      <alignment horizontal="left" vertical="center"/>
      <protection locked="0"/>
    </xf>
    <xf numFmtId="0" fontId="8" fillId="35" borderId="23" xfId="0" applyFont="1" applyFill="1" applyBorder="1" applyAlignment="1" applyProtection="1">
      <alignment horizontal="center" vertical="center"/>
      <protection/>
    </xf>
    <xf numFmtId="0" fontId="8" fillId="34" borderId="23" xfId="0" applyFont="1" applyFill="1" applyBorder="1" applyAlignment="1" applyProtection="1">
      <alignment horizontal="center" vertical="center"/>
      <protection hidden="1"/>
    </xf>
    <xf numFmtId="0" fontId="4" fillId="35" borderId="23" xfId="0" applyFont="1" applyFill="1" applyBorder="1" applyAlignment="1" applyProtection="1">
      <alignment horizontal="center" vertical="center"/>
      <protection hidden="1"/>
    </xf>
    <xf numFmtId="0" fontId="2" fillId="34" borderId="36" xfId="0" applyFont="1" applyFill="1" applyBorder="1" applyAlignment="1" applyProtection="1">
      <alignment vertical="center"/>
      <protection/>
    </xf>
    <xf numFmtId="3" fontId="3" fillId="34" borderId="33" xfId="0" applyNumberFormat="1" applyFont="1" applyFill="1" applyBorder="1" applyAlignment="1" applyProtection="1">
      <alignment/>
      <protection locked="0"/>
    </xf>
    <xf numFmtId="0" fontId="8" fillId="35" borderId="32"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8" fillId="35" borderId="33" xfId="0" applyFont="1" applyFill="1" applyBorder="1" applyAlignment="1" applyProtection="1">
      <alignment horizontal="center" vertical="center" wrapText="1"/>
      <protection hidden="1"/>
    </xf>
    <xf numFmtId="0" fontId="8" fillId="34" borderId="32" xfId="0" applyFont="1" applyFill="1" applyBorder="1" applyAlignment="1" applyProtection="1">
      <alignment horizontal="center" vertical="center"/>
      <protection/>
    </xf>
    <xf numFmtId="0" fontId="8" fillId="34" borderId="33" xfId="0" applyFont="1" applyFill="1" applyBorder="1" applyAlignment="1" applyProtection="1">
      <alignment horizontal="center" vertical="center"/>
      <protection/>
    </xf>
    <xf numFmtId="0" fontId="4" fillId="34" borderId="23" xfId="0" applyFont="1" applyFill="1" applyBorder="1" applyAlignment="1" applyProtection="1">
      <alignment horizontal="center" vertical="center"/>
      <protection hidden="1"/>
    </xf>
    <xf numFmtId="0" fontId="0" fillId="0" borderId="0" xfId="0" applyFont="1" applyAlignment="1">
      <alignment/>
    </xf>
    <xf numFmtId="49" fontId="0" fillId="0" borderId="0" xfId="0" applyNumberFormat="1" applyFont="1" applyAlignment="1">
      <alignment horizontal="center"/>
    </xf>
    <xf numFmtId="0" fontId="0" fillId="0" borderId="11" xfId="0" applyFont="1" applyBorder="1" applyAlignment="1">
      <alignment/>
    </xf>
    <xf numFmtId="0" fontId="0" fillId="0" borderId="37" xfId="0" applyFont="1" applyBorder="1" applyAlignment="1">
      <alignment/>
    </xf>
    <xf numFmtId="0" fontId="0" fillId="0" borderId="37" xfId="0" applyFont="1" applyBorder="1" applyAlignment="1">
      <alignment wrapText="1"/>
    </xf>
    <xf numFmtId="0" fontId="0" fillId="0" borderId="10" xfId="0" applyFont="1" applyBorder="1" applyAlignment="1">
      <alignment/>
    </xf>
    <xf numFmtId="0" fontId="0" fillId="0" borderId="13" xfId="0" applyFont="1" applyBorder="1" applyAlignment="1">
      <alignment/>
    </xf>
    <xf numFmtId="3" fontId="0" fillId="0" borderId="13" xfId="0" applyNumberFormat="1" applyFont="1" applyBorder="1" applyAlignment="1">
      <alignment/>
    </xf>
    <xf numFmtId="3" fontId="0" fillId="0" borderId="13" xfId="0" applyNumberFormat="1" applyFont="1" applyBorder="1" applyAlignment="1">
      <alignment wrapText="1"/>
    </xf>
    <xf numFmtId="0" fontId="0" fillId="0" borderId="0" xfId="0" applyFont="1" applyAlignment="1">
      <alignment/>
    </xf>
    <xf numFmtId="0" fontId="3" fillId="0" borderId="13" xfId="0" applyFont="1" applyBorder="1" applyAlignment="1">
      <alignment/>
    </xf>
    <xf numFmtId="3" fontId="0" fillId="0" borderId="38" xfId="0" applyNumberFormat="1" applyFont="1" applyBorder="1" applyAlignment="1">
      <alignment/>
    </xf>
    <xf numFmtId="3" fontId="0" fillId="0" borderId="38" xfId="0" applyNumberFormat="1" applyFont="1" applyBorder="1" applyAlignment="1">
      <alignment wrapText="1"/>
    </xf>
    <xf numFmtId="0" fontId="0" fillId="0" borderId="19" xfId="0" applyFont="1" applyBorder="1" applyAlignment="1">
      <alignment/>
    </xf>
    <xf numFmtId="0" fontId="0" fillId="0" borderId="19" xfId="0" applyFont="1" applyBorder="1" applyAlignment="1">
      <alignment wrapText="1"/>
    </xf>
    <xf numFmtId="3" fontId="0" fillId="2" borderId="12" xfId="0" applyNumberFormat="1" applyFont="1" applyFill="1" applyBorder="1" applyAlignment="1">
      <alignment/>
    </xf>
    <xf numFmtId="3" fontId="0" fillId="2" borderId="12" xfId="0" applyNumberFormat="1" applyFont="1" applyFill="1" applyBorder="1" applyAlignment="1">
      <alignment wrapText="1"/>
    </xf>
    <xf numFmtId="3" fontId="0" fillId="0" borderId="12" xfId="0" applyNumberFormat="1" applyFont="1" applyBorder="1" applyAlignment="1">
      <alignment/>
    </xf>
    <xf numFmtId="3" fontId="0" fillId="2" borderId="0" xfId="0" applyNumberFormat="1" applyFont="1" applyFill="1" applyBorder="1" applyAlignment="1">
      <alignment/>
    </xf>
    <xf numFmtId="3" fontId="0" fillId="2" borderId="17" xfId="0" applyNumberFormat="1" applyFont="1" applyFill="1" applyBorder="1" applyAlignment="1">
      <alignment/>
    </xf>
    <xf numFmtId="3" fontId="0" fillId="2" borderId="13" xfId="0" applyNumberFormat="1" applyFont="1" applyFill="1" applyBorder="1" applyAlignment="1">
      <alignment/>
    </xf>
    <xf numFmtId="3" fontId="0" fillId="2" borderId="13" xfId="0" applyNumberFormat="1" applyFont="1" applyFill="1" applyBorder="1" applyAlignment="1">
      <alignment wrapText="1"/>
    </xf>
    <xf numFmtId="3" fontId="0" fillId="0" borderId="13" xfId="0" applyNumberFormat="1" applyFont="1" applyBorder="1" applyAlignment="1">
      <alignment vertical="center"/>
    </xf>
    <xf numFmtId="0" fontId="3" fillId="0" borderId="39" xfId="0" applyFont="1" applyBorder="1" applyAlignment="1">
      <alignment/>
    </xf>
    <xf numFmtId="3" fontId="0" fillId="2" borderId="40" xfId="0" applyNumberFormat="1" applyFont="1" applyFill="1" applyBorder="1" applyAlignment="1">
      <alignment/>
    </xf>
    <xf numFmtId="3" fontId="0" fillId="2" borderId="40" xfId="0" applyNumberFormat="1" applyFont="1" applyFill="1" applyBorder="1" applyAlignment="1">
      <alignment wrapText="1"/>
    </xf>
    <xf numFmtId="3" fontId="0" fillId="0" borderId="40" xfId="0" applyNumberFormat="1" applyFont="1" applyBorder="1" applyAlignment="1">
      <alignment/>
    </xf>
    <xf numFmtId="3" fontId="0" fillId="2" borderId="41" xfId="0" applyNumberFormat="1" applyFont="1" applyFill="1" applyBorder="1" applyAlignment="1">
      <alignment/>
    </xf>
    <xf numFmtId="0" fontId="3" fillId="0" borderId="42" xfId="0" applyFont="1" applyBorder="1" applyAlignment="1">
      <alignment/>
    </xf>
    <xf numFmtId="3" fontId="0" fillId="2" borderId="14" xfId="0" applyNumberFormat="1" applyFont="1" applyFill="1" applyBorder="1" applyAlignment="1">
      <alignment/>
    </xf>
    <xf numFmtId="3" fontId="0" fillId="2" borderId="14" xfId="0" applyNumberFormat="1" applyFont="1" applyFill="1" applyBorder="1" applyAlignment="1">
      <alignment wrapText="1"/>
    </xf>
    <xf numFmtId="3" fontId="0" fillId="0" borderId="14" xfId="0" applyNumberFormat="1" applyFont="1" applyBorder="1" applyAlignment="1">
      <alignment/>
    </xf>
    <xf numFmtId="3" fontId="0" fillId="2" borderId="43" xfId="0" applyNumberFormat="1" applyFont="1" applyFill="1" applyBorder="1" applyAlignment="1">
      <alignment/>
    </xf>
    <xf numFmtId="3" fontId="0" fillId="2" borderId="18" xfId="0" applyNumberFormat="1" applyFont="1" applyFill="1" applyBorder="1" applyAlignment="1">
      <alignment/>
    </xf>
    <xf numFmtId="0" fontId="3" fillId="0" borderId="0" xfId="0" applyFont="1" applyBorder="1" applyAlignment="1">
      <alignment/>
    </xf>
    <xf numFmtId="3" fontId="0" fillId="0" borderId="0" xfId="0" applyNumberFormat="1" applyFont="1" applyBorder="1" applyAlignment="1">
      <alignment/>
    </xf>
    <xf numFmtId="3" fontId="0" fillId="0" borderId="0" xfId="0" applyNumberFormat="1" applyFont="1" applyBorder="1" applyAlignment="1">
      <alignment wrapText="1"/>
    </xf>
    <xf numFmtId="0" fontId="3" fillId="2" borderId="18" xfId="0" applyFont="1" applyFill="1" applyBorder="1" applyAlignment="1">
      <alignment horizontal="center"/>
    </xf>
    <xf numFmtId="0" fontId="3" fillId="2" borderId="14" xfId="0" applyFont="1" applyFill="1" applyBorder="1" applyAlignment="1">
      <alignment horizontal="center" vertical="center"/>
    </xf>
    <xf numFmtId="0" fontId="3" fillId="2" borderId="14" xfId="0" applyFont="1" applyFill="1" applyBorder="1" applyAlignment="1">
      <alignment horizontal="center" vertical="center" wrapText="1"/>
    </xf>
    <xf numFmtId="3" fontId="0" fillId="0" borderId="15" xfId="0" applyNumberFormat="1" applyFont="1" applyBorder="1" applyAlignment="1">
      <alignment/>
    </xf>
    <xf numFmtId="0" fontId="3" fillId="0" borderId="14" xfId="0" applyFont="1" applyBorder="1" applyAlignment="1">
      <alignment/>
    </xf>
    <xf numFmtId="3" fontId="0" fillId="0" borderId="14" xfId="0" applyNumberFormat="1" applyFont="1" applyBorder="1" applyAlignment="1">
      <alignment wrapText="1"/>
    </xf>
    <xf numFmtId="3" fontId="0" fillId="0" borderId="0" xfId="0" applyNumberFormat="1" applyFont="1" applyBorder="1" applyAlignment="1">
      <alignment vertical="center"/>
    </xf>
    <xf numFmtId="3" fontId="3" fillId="0" borderId="44" xfId="0" applyNumberFormat="1" applyFont="1" applyBorder="1" applyAlignment="1">
      <alignment/>
    </xf>
    <xf numFmtId="3" fontId="3" fillId="0" borderId="13" xfId="0" applyNumberFormat="1" applyFont="1" applyBorder="1" applyAlignment="1">
      <alignment/>
    </xf>
    <xf numFmtId="0" fontId="3" fillId="0" borderId="15" xfId="0" applyFont="1" applyBorder="1" applyAlignment="1">
      <alignment/>
    </xf>
    <xf numFmtId="3" fontId="3" fillId="0" borderId="15" xfId="0" applyNumberFormat="1" applyFont="1" applyBorder="1" applyAlignment="1">
      <alignment/>
    </xf>
    <xf numFmtId="0" fontId="0" fillId="0" borderId="0" xfId="0" applyFont="1" applyBorder="1" applyAlignment="1">
      <alignment/>
    </xf>
    <xf numFmtId="0" fontId="3" fillId="0" borderId="35" xfId="0" applyFont="1" applyBorder="1" applyAlignment="1">
      <alignment/>
    </xf>
    <xf numFmtId="0" fontId="3" fillId="0" borderId="35" xfId="0" applyFont="1" applyBorder="1" applyAlignment="1">
      <alignment wrapText="1"/>
    </xf>
    <xf numFmtId="3" fontId="3" fillId="0" borderId="35" xfId="0" applyNumberFormat="1" applyFont="1" applyBorder="1" applyAlignment="1">
      <alignment vertical="center"/>
    </xf>
    <xf numFmtId="4" fontId="3" fillId="0" borderId="35" xfId="0" applyNumberFormat="1" applyFont="1" applyBorder="1" applyAlignment="1">
      <alignment/>
    </xf>
    <xf numFmtId="0" fontId="0" fillId="0" borderId="0" xfId="0" applyFont="1" applyAlignment="1">
      <alignment wrapText="1"/>
    </xf>
    <xf numFmtId="0" fontId="0" fillId="0" borderId="13" xfId="0" applyFont="1" applyBorder="1" applyAlignment="1">
      <alignment wrapText="1"/>
    </xf>
    <xf numFmtId="0" fontId="3" fillId="2" borderId="19" xfId="0" applyFont="1" applyFill="1" applyBorder="1" applyAlignment="1">
      <alignment/>
    </xf>
    <xf numFmtId="0" fontId="3" fillId="2" borderId="0" xfId="0" applyFont="1" applyFill="1" applyBorder="1" applyAlignment="1">
      <alignment/>
    </xf>
    <xf numFmtId="0" fontId="3" fillId="2" borderId="17" xfId="0" applyFont="1" applyFill="1" applyBorder="1" applyAlignment="1">
      <alignment/>
    </xf>
    <xf numFmtId="0" fontId="3" fillId="0" borderId="17" xfId="0" applyFont="1" applyFill="1" applyBorder="1" applyAlignment="1">
      <alignment/>
    </xf>
    <xf numFmtId="0" fontId="3" fillId="2" borderId="45" xfId="0" applyFont="1" applyFill="1" applyBorder="1" applyAlignment="1">
      <alignment/>
    </xf>
    <xf numFmtId="0" fontId="3" fillId="2" borderId="46" xfId="0" applyFont="1" applyFill="1" applyBorder="1" applyAlignment="1">
      <alignment/>
    </xf>
    <xf numFmtId="0" fontId="3" fillId="2" borderId="16" xfId="0" applyFont="1" applyFill="1" applyBorder="1" applyAlignment="1">
      <alignment/>
    </xf>
    <xf numFmtId="0" fontId="3" fillId="2" borderId="43" xfId="0" applyFont="1" applyFill="1" applyBorder="1" applyAlignment="1">
      <alignment horizontal="left"/>
    </xf>
    <xf numFmtId="0" fontId="3" fillId="2" borderId="18" xfId="0" applyFont="1" applyFill="1" applyBorder="1" applyAlignment="1">
      <alignment horizontal="left"/>
    </xf>
    <xf numFmtId="0" fontId="3" fillId="2" borderId="42" xfId="0" applyFont="1" applyFill="1" applyBorder="1" applyAlignment="1">
      <alignment horizontal="center"/>
    </xf>
    <xf numFmtId="0" fontId="3" fillId="2" borderId="43" xfId="0" applyFont="1" applyFill="1" applyBorder="1" applyAlignment="1">
      <alignment horizontal="center"/>
    </xf>
    <xf numFmtId="3" fontId="3" fillId="0" borderId="43" xfId="0" applyNumberFormat="1" applyFont="1" applyBorder="1" applyAlignment="1">
      <alignment/>
    </xf>
    <xf numFmtId="3" fontId="0" fillId="0" borderId="14" xfId="0" applyNumberFormat="1" applyFont="1" applyBorder="1" applyAlignment="1">
      <alignment horizontal="center"/>
    </xf>
    <xf numFmtId="3" fontId="0" fillId="0" borderId="13" xfId="0" applyNumberFormat="1" applyFont="1" applyFill="1" applyBorder="1" applyAlignment="1">
      <alignment/>
    </xf>
    <xf numFmtId="3" fontId="0" fillId="0" borderId="13" xfId="0" applyNumberFormat="1" applyFont="1" applyFill="1" applyBorder="1" applyAlignment="1">
      <alignment wrapText="1"/>
    </xf>
    <xf numFmtId="3" fontId="0" fillId="0" borderId="17" xfId="0" applyNumberFormat="1" applyFont="1" applyFill="1" applyBorder="1" applyAlignment="1">
      <alignment/>
    </xf>
    <xf numFmtId="0" fontId="3" fillId="2" borderId="14" xfId="0" applyFont="1" applyFill="1" applyBorder="1" applyAlignment="1">
      <alignment horizontal="center"/>
    </xf>
    <xf numFmtId="3" fontId="0" fillId="0" borderId="47" xfId="0" applyNumberFormat="1" applyFont="1" applyFill="1" applyBorder="1" applyAlignment="1">
      <alignment/>
    </xf>
    <xf numFmtId="3" fontId="0" fillId="2" borderId="45" xfId="0" applyNumberFormat="1" applyFont="1" applyFill="1" applyBorder="1" applyAlignment="1">
      <alignment/>
    </xf>
    <xf numFmtId="3" fontId="0" fillId="2" borderId="16" xfId="0" applyNumberFormat="1" applyFont="1" applyFill="1" applyBorder="1" applyAlignment="1">
      <alignment/>
    </xf>
    <xf numFmtId="3" fontId="0" fillId="2" borderId="19" xfId="0" applyNumberFormat="1" applyFont="1" applyFill="1" applyBorder="1" applyAlignment="1">
      <alignment/>
    </xf>
    <xf numFmtId="3" fontId="0" fillId="2" borderId="48" xfId="0" applyNumberFormat="1" applyFont="1" applyFill="1" applyBorder="1" applyAlignment="1">
      <alignment/>
    </xf>
    <xf numFmtId="4" fontId="0" fillId="0" borderId="0" xfId="0" applyNumberFormat="1" applyFont="1" applyAlignment="1">
      <alignment/>
    </xf>
    <xf numFmtId="4" fontId="0" fillId="0" borderId="17" xfId="0" applyNumberFormat="1" applyFont="1" applyFill="1" applyBorder="1" applyAlignment="1">
      <alignment/>
    </xf>
    <xf numFmtId="0" fontId="3" fillId="0" borderId="19" xfId="0" applyFont="1" applyBorder="1" applyAlignment="1">
      <alignment/>
    </xf>
    <xf numFmtId="4" fontId="3" fillId="0" borderId="17" xfId="0" applyNumberFormat="1" applyFont="1" applyFill="1" applyBorder="1" applyAlignment="1">
      <alignment/>
    </xf>
    <xf numFmtId="0" fontId="0" fillId="0" borderId="42" xfId="0" applyFont="1" applyBorder="1" applyAlignment="1">
      <alignment/>
    </xf>
    <xf numFmtId="3" fontId="3" fillId="0" borderId="14" xfId="0" applyNumberFormat="1" applyFont="1" applyFill="1" applyBorder="1" applyAlignment="1">
      <alignment/>
    </xf>
    <xf numFmtId="3" fontId="3" fillId="0" borderId="18" xfId="0" applyNumberFormat="1" applyFont="1" applyFill="1" applyBorder="1" applyAlignment="1">
      <alignment/>
    </xf>
    <xf numFmtId="3" fontId="3" fillId="0" borderId="14" xfId="0" applyNumberFormat="1" applyFont="1" applyBorder="1" applyAlignment="1">
      <alignment/>
    </xf>
    <xf numFmtId="10" fontId="0" fillId="0" borderId="13" xfId="0" applyNumberFormat="1" applyFont="1" applyFill="1" applyBorder="1" applyAlignment="1">
      <alignment wrapText="1"/>
    </xf>
    <xf numFmtId="3" fontId="0" fillId="0" borderId="15" xfId="0" applyNumberFormat="1" applyFont="1" applyFill="1" applyBorder="1" applyAlignment="1">
      <alignment/>
    </xf>
    <xf numFmtId="3" fontId="3" fillId="0" borderId="0" xfId="0" applyNumberFormat="1" applyFont="1" applyFill="1" applyBorder="1" applyAlignment="1">
      <alignment/>
    </xf>
    <xf numFmtId="3" fontId="3" fillId="0" borderId="0" xfId="0" applyNumberFormat="1" applyFont="1" applyFill="1" applyBorder="1" applyAlignment="1">
      <alignment wrapText="1"/>
    </xf>
    <xf numFmtId="3" fontId="0" fillId="0" borderId="0" xfId="0" applyNumberFormat="1" applyFont="1" applyFill="1" applyBorder="1" applyAlignment="1">
      <alignment/>
    </xf>
    <xf numFmtId="3" fontId="0" fillId="0" borderId="0" xfId="0" applyNumberFormat="1" applyFont="1" applyFill="1" applyBorder="1" applyAlignment="1">
      <alignment wrapText="1"/>
    </xf>
    <xf numFmtId="3" fontId="0" fillId="0" borderId="12" xfId="0" applyNumberFormat="1" applyFont="1" applyFill="1" applyBorder="1" applyAlignment="1">
      <alignment/>
    </xf>
    <xf numFmtId="0" fontId="11" fillId="2" borderId="15" xfId="0" applyFont="1" applyFill="1" applyBorder="1" applyAlignment="1">
      <alignment horizontal="center" vertical="center" wrapText="1"/>
    </xf>
    <xf numFmtId="0" fontId="0" fillId="0" borderId="43" xfId="0" applyBorder="1" applyAlignment="1">
      <alignment/>
    </xf>
    <xf numFmtId="0" fontId="0" fillId="0" borderId="18" xfId="0" applyBorder="1" applyAlignment="1">
      <alignment/>
    </xf>
    <xf numFmtId="9" fontId="0" fillId="0" borderId="18" xfId="0" applyNumberFormat="1" applyBorder="1" applyAlignment="1">
      <alignment/>
    </xf>
    <xf numFmtId="0" fontId="3" fillId="0" borderId="42" xfId="0" applyFont="1" applyFill="1" applyBorder="1" applyAlignment="1">
      <alignment/>
    </xf>
    <xf numFmtId="0" fontId="3" fillId="0" borderId="12" xfId="0" applyFont="1" applyBorder="1" applyAlignment="1">
      <alignment/>
    </xf>
    <xf numFmtId="0" fontId="0" fillId="0" borderId="12" xfId="0" applyFont="1" applyBorder="1" applyAlignment="1">
      <alignment/>
    </xf>
    <xf numFmtId="189" fontId="0" fillId="0" borderId="12" xfId="0" applyNumberFormat="1" applyFont="1" applyBorder="1" applyAlignment="1">
      <alignment/>
    </xf>
    <xf numFmtId="0" fontId="0" fillId="0" borderId="16" xfId="0" applyFont="1" applyBorder="1" applyAlignment="1">
      <alignment/>
    </xf>
    <xf numFmtId="3" fontId="0" fillId="0" borderId="16" xfId="0" applyNumberFormat="1" applyFont="1" applyBorder="1" applyAlignment="1">
      <alignment/>
    </xf>
    <xf numFmtId="189" fontId="0" fillId="0" borderId="13" xfId="0" applyNumberFormat="1" applyFont="1" applyBorder="1" applyAlignment="1">
      <alignment/>
    </xf>
    <xf numFmtId="0" fontId="0" fillId="0" borderId="17" xfId="0" applyFont="1" applyBorder="1" applyAlignment="1">
      <alignment/>
    </xf>
    <xf numFmtId="3" fontId="0" fillId="0" borderId="17" xfId="0" applyNumberFormat="1" applyFont="1" applyBorder="1" applyAlignment="1">
      <alignment/>
    </xf>
    <xf numFmtId="0" fontId="0" fillId="0" borderId="14" xfId="0" applyFont="1" applyBorder="1" applyAlignment="1">
      <alignment/>
    </xf>
    <xf numFmtId="188" fontId="0" fillId="0" borderId="14" xfId="0" applyNumberFormat="1" applyFont="1" applyBorder="1" applyAlignment="1">
      <alignment/>
    </xf>
    <xf numFmtId="0" fontId="0" fillId="0" borderId="18" xfId="0" applyFont="1" applyBorder="1" applyAlignment="1">
      <alignment/>
    </xf>
    <xf numFmtId="3" fontId="0" fillId="0" borderId="18" xfId="0" applyNumberFormat="1" applyFont="1" applyBorder="1" applyAlignment="1">
      <alignment/>
    </xf>
    <xf numFmtId="3" fontId="0" fillId="0" borderId="37" xfId="0" applyNumberFormat="1" applyFont="1" applyBorder="1" applyAlignment="1">
      <alignment/>
    </xf>
    <xf numFmtId="3" fontId="3" fillId="2" borderId="14" xfId="0" applyNumberFormat="1" applyFont="1" applyFill="1" applyBorder="1" applyAlignment="1">
      <alignment horizontal="center"/>
    </xf>
    <xf numFmtId="0" fontId="3" fillId="2" borderId="42" xfId="0" applyFont="1" applyFill="1" applyBorder="1" applyAlignment="1">
      <alignment horizontal="center" vertical="center" wrapText="1"/>
    </xf>
    <xf numFmtId="189" fontId="0" fillId="0" borderId="17" xfId="0" applyNumberFormat="1" applyFont="1" applyBorder="1" applyAlignment="1">
      <alignment/>
    </xf>
    <xf numFmtId="10" fontId="0" fillId="0" borderId="17" xfId="0" applyNumberFormat="1" applyFont="1" applyBorder="1" applyAlignment="1">
      <alignment/>
    </xf>
    <xf numFmtId="14" fontId="0" fillId="0" borderId="13" xfId="0" applyNumberFormat="1" applyFont="1" applyBorder="1" applyAlignment="1">
      <alignment/>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76" fillId="0" borderId="0" xfId="0" applyFont="1" applyAlignment="1">
      <alignment horizontal="center"/>
    </xf>
    <xf numFmtId="0" fontId="77" fillId="0" borderId="0" xfId="0" applyFont="1" applyAlignment="1">
      <alignment/>
    </xf>
    <xf numFmtId="3" fontId="77" fillId="0" borderId="0" xfId="0" applyNumberFormat="1" applyFont="1" applyAlignment="1">
      <alignment/>
    </xf>
    <xf numFmtId="0" fontId="3" fillId="0" borderId="0" xfId="0" applyFont="1" applyAlignment="1">
      <alignment/>
    </xf>
    <xf numFmtId="3" fontId="3" fillId="0" borderId="0" xfId="0" applyNumberFormat="1" applyFont="1" applyAlignment="1">
      <alignment/>
    </xf>
    <xf numFmtId="169" fontId="0" fillId="0" borderId="0" xfId="0" applyNumberFormat="1" applyFont="1" applyAlignment="1">
      <alignment/>
    </xf>
    <xf numFmtId="171" fontId="0" fillId="0" borderId="0" xfId="0" applyNumberFormat="1" applyFont="1" applyAlignment="1">
      <alignment/>
    </xf>
    <xf numFmtId="0" fontId="77" fillId="0" borderId="0" xfId="0" applyFont="1" applyAlignment="1">
      <alignment wrapText="1"/>
    </xf>
    <xf numFmtId="3" fontId="77" fillId="0" borderId="0" xfId="0" applyNumberFormat="1" applyFont="1" applyAlignment="1">
      <alignment wrapText="1"/>
    </xf>
    <xf numFmtId="0" fontId="0" fillId="0" borderId="0" xfId="0" applyFont="1" applyAlignment="1">
      <alignment horizontal="center" wrapText="1"/>
    </xf>
    <xf numFmtId="177"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Border="1" applyAlignment="1">
      <alignment horizontal="center"/>
    </xf>
    <xf numFmtId="177" fontId="0" fillId="0" borderId="35" xfId="0" applyNumberFormat="1" applyFont="1" applyBorder="1" applyAlignment="1">
      <alignment/>
    </xf>
    <xf numFmtId="177" fontId="77" fillId="0" borderId="0" xfId="0" applyNumberFormat="1" applyFont="1" applyAlignment="1">
      <alignment/>
    </xf>
    <xf numFmtId="49" fontId="77" fillId="0" borderId="0" xfId="0" applyNumberFormat="1" applyFont="1" applyAlignment="1">
      <alignment horizontal="center"/>
    </xf>
    <xf numFmtId="0" fontId="76" fillId="0" borderId="0" xfId="0" applyFont="1" applyBorder="1" applyAlignment="1">
      <alignment horizontal="center"/>
    </xf>
    <xf numFmtId="177" fontId="0" fillId="0" borderId="0" xfId="0" applyNumberFormat="1" applyFont="1" applyBorder="1" applyAlignment="1">
      <alignment/>
    </xf>
    <xf numFmtId="0" fontId="0" fillId="0" borderId="0" xfId="0" applyFont="1" applyBorder="1" applyAlignment="1">
      <alignment horizontal="center"/>
    </xf>
    <xf numFmtId="169" fontId="0" fillId="0" borderId="0" xfId="0" applyNumberFormat="1" applyFont="1" applyBorder="1" applyAlignment="1">
      <alignment/>
    </xf>
    <xf numFmtId="3" fontId="77" fillId="0" borderId="0" xfId="0" applyNumberFormat="1" applyFont="1" applyBorder="1" applyAlignment="1">
      <alignment/>
    </xf>
    <xf numFmtId="0" fontId="77" fillId="0" borderId="0" xfId="0" applyFont="1" applyBorder="1" applyAlignment="1">
      <alignment/>
    </xf>
    <xf numFmtId="177" fontId="0" fillId="0" borderId="0" xfId="0" applyNumberFormat="1" applyFont="1" applyBorder="1" applyAlignment="1">
      <alignment horizontal="left"/>
    </xf>
    <xf numFmtId="177" fontId="19" fillId="0" borderId="0" xfId="0" applyNumberFormat="1" applyFont="1" applyBorder="1" applyAlignment="1">
      <alignment/>
    </xf>
    <xf numFmtId="177" fontId="0" fillId="0" borderId="0" xfId="0" applyNumberFormat="1" applyFont="1" applyBorder="1" applyAlignment="1">
      <alignment horizontal="left" wrapText="1"/>
    </xf>
    <xf numFmtId="177" fontId="3" fillId="0" borderId="0" xfId="0" applyNumberFormat="1" applyFont="1" applyBorder="1" applyAlignment="1">
      <alignment horizontal="left"/>
    </xf>
    <xf numFmtId="177" fontId="3" fillId="0" borderId="0" xfId="0" applyNumberFormat="1" applyFont="1" applyBorder="1" applyAlignment="1">
      <alignment/>
    </xf>
    <xf numFmtId="177" fontId="0" fillId="0" borderId="0" xfId="0" applyNumberFormat="1" applyFont="1" applyBorder="1" applyAlignment="1">
      <alignment/>
    </xf>
    <xf numFmtId="49" fontId="0" fillId="0" borderId="0" xfId="0" applyNumberFormat="1" applyFont="1" applyBorder="1" applyAlignment="1">
      <alignment horizontal="center"/>
    </xf>
    <xf numFmtId="0" fontId="0" fillId="0" borderId="13" xfId="0" applyFont="1" applyBorder="1" applyAlignment="1">
      <alignment horizontal="right" vertical="center"/>
    </xf>
    <xf numFmtId="3" fontId="0" fillId="0" borderId="17" xfId="0" applyNumberFormat="1" applyFont="1" applyBorder="1" applyAlignment="1">
      <alignment vertical="center"/>
    </xf>
    <xf numFmtId="199" fontId="0" fillId="0" borderId="0" xfId="0" applyNumberFormat="1" applyFont="1" applyAlignment="1">
      <alignment/>
    </xf>
    <xf numFmtId="0" fontId="0" fillId="0" borderId="13" xfId="0" applyFont="1" applyBorder="1" applyAlignment="1">
      <alignment horizontal="center" vertical="center"/>
    </xf>
    <xf numFmtId="0" fontId="3" fillId="0" borderId="0" xfId="0" applyFont="1" applyBorder="1" applyAlignment="1">
      <alignment vertical="center" wrapText="1"/>
    </xf>
    <xf numFmtId="177" fontId="0" fillId="0" borderId="0" xfId="0" applyNumberFormat="1" applyFont="1" applyFill="1" applyBorder="1" applyAlignment="1">
      <alignment/>
    </xf>
    <xf numFmtId="4" fontId="0" fillId="0" borderId="46" xfId="0" applyNumberFormat="1" applyFont="1" applyBorder="1" applyAlignment="1">
      <alignment/>
    </xf>
    <xf numFmtId="4" fontId="0" fillId="0" borderId="0" xfId="0" applyNumberFormat="1" applyFont="1" applyBorder="1" applyAlignment="1">
      <alignment/>
    </xf>
    <xf numFmtId="0" fontId="0" fillId="0" borderId="15" xfId="0" applyFont="1" applyBorder="1" applyAlignment="1">
      <alignment/>
    </xf>
    <xf numFmtId="14" fontId="0" fillId="0" borderId="13" xfId="0" applyNumberFormat="1" applyFont="1" applyFill="1" applyBorder="1" applyAlignment="1">
      <alignment/>
    </xf>
    <xf numFmtId="14" fontId="0" fillId="0" borderId="12" xfId="0" applyNumberFormat="1" applyFont="1" applyBorder="1" applyAlignment="1">
      <alignment/>
    </xf>
    <xf numFmtId="3" fontId="0" fillId="0" borderId="17" xfId="0" applyNumberFormat="1" applyFont="1" applyFill="1" applyBorder="1" applyAlignment="1">
      <alignment/>
    </xf>
    <xf numFmtId="3" fontId="0" fillId="0" borderId="13" xfId="0" applyNumberFormat="1" applyFont="1" applyBorder="1" applyAlignment="1">
      <alignment vertical="center" wrapText="1"/>
    </xf>
    <xf numFmtId="3" fontId="0" fillId="0" borderId="0" xfId="0" applyNumberFormat="1" applyFont="1" applyBorder="1" applyAlignment="1">
      <alignment horizontal="center"/>
    </xf>
    <xf numFmtId="3" fontId="3" fillId="0" borderId="0" xfId="0" applyNumberFormat="1" applyFont="1" applyBorder="1" applyAlignment="1">
      <alignment/>
    </xf>
    <xf numFmtId="0" fontId="0" fillId="0" borderId="35" xfId="0" applyFont="1" applyBorder="1" applyAlignment="1">
      <alignment/>
    </xf>
    <xf numFmtId="3" fontId="0" fillId="0" borderId="35" xfId="0" applyNumberFormat="1" applyFont="1" applyBorder="1" applyAlignment="1">
      <alignment horizontal="center"/>
    </xf>
    <xf numFmtId="0" fontId="0" fillId="0" borderId="49" xfId="0" applyFont="1" applyBorder="1" applyAlignment="1">
      <alignment/>
    </xf>
    <xf numFmtId="3" fontId="0" fillId="0" borderId="49" xfId="0" applyNumberFormat="1" applyFont="1" applyBorder="1" applyAlignment="1">
      <alignment horizontal="center"/>
    </xf>
    <xf numFmtId="3" fontId="3" fillId="0" borderId="49" xfId="0" applyNumberFormat="1" applyFont="1" applyBorder="1" applyAlignment="1">
      <alignment/>
    </xf>
    <xf numFmtId="3" fontId="12" fillId="0" borderId="13" xfId="0" applyNumberFormat="1" applyFont="1" applyFill="1" applyBorder="1" applyAlignment="1">
      <alignment/>
    </xf>
    <xf numFmtId="0" fontId="0" fillId="0" borderId="11" xfId="0" applyBorder="1" applyAlignment="1">
      <alignment/>
    </xf>
    <xf numFmtId="0" fontId="0" fillId="0" borderId="37" xfId="0" applyBorder="1" applyAlignment="1">
      <alignment/>
    </xf>
    <xf numFmtId="0" fontId="0" fillId="0" borderId="10" xfId="0" applyBorder="1" applyAlignment="1">
      <alignment/>
    </xf>
    <xf numFmtId="3" fontId="12" fillId="0" borderId="17" xfId="0" applyNumberFormat="1" applyFont="1" applyFill="1" applyBorder="1" applyAlignment="1">
      <alignment/>
    </xf>
    <xf numFmtId="177" fontId="0" fillId="0" borderId="50" xfId="0" applyNumberFormat="1" applyFont="1" applyBorder="1" applyAlignment="1">
      <alignment horizontal="left"/>
    </xf>
    <xf numFmtId="177" fontId="0" fillId="0" borderId="51" xfId="0" applyNumberFormat="1" applyFont="1" applyBorder="1" applyAlignment="1">
      <alignment/>
    </xf>
    <xf numFmtId="3" fontId="77" fillId="0" borderId="52" xfId="0" applyNumberFormat="1" applyFont="1" applyBorder="1" applyAlignment="1">
      <alignment/>
    </xf>
    <xf numFmtId="9" fontId="12" fillId="0" borderId="12" xfId="0" applyNumberFormat="1" applyFont="1" applyBorder="1" applyAlignment="1">
      <alignment/>
    </xf>
    <xf numFmtId="0" fontId="3" fillId="0" borderId="0" xfId="0" applyFont="1" applyBorder="1" applyAlignment="1">
      <alignment horizontal="center"/>
    </xf>
    <xf numFmtId="0" fontId="20" fillId="0" borderId="0" xfId="0" applyFont="1" applyAlignment="1">
      <alignment/>
    </xf>
    <xf numFmtId="0" fontId="21" fillId="0" borderId="0" xfId="0" applyFont="1" applyAlignment="1">
      <alignment/>
    </xf>
    <xf numFmtId="0" fontId="22" fillId="0" borderId="35" xfId="0" applyFont="1" applyBorder="1" applyAlignment="1">
      <alignment horizontal="center"/>
    </xf>
    <xf numFmtId="0" fontId="23" fillId="0" borderId="35" xfId="0" applyFont="1" applyBorder="1" applyAlignment="1">
      <alignment horizontal="center"/>
    </xf>
    <xf numFmtId="49" fontId="23" fillId="0" borderId="35" xfId="0" applyNumberFormat="1" applyFont="1" applyBorder="1" applyAlignment="1">
      <alignment horizontal="center"/>
    </xf>
    <xf numFmtId="0" fontId="23" fillId="0" borderId="35" xfId="0" applyFont="1" applyFill="1" applyBorder="1" applyAlignment="1">
      <alignment horizontal="center"/>
    </xf>
    <xf numFmtId="3" fontId="78" fillId="0" borderId="13" xfId="0" applyNumberFormat="1" applyFont="1" applyBorder="1" applyAlignment="1">
      <alignment horizontal="center"/>
    </xf>
    <xf numFmtId="3" fontId="0" fillId="2" borderId="15" xfId="0" applyNumberFormat="1" applyFont="1" applyFill="1" applyBorder="1" applyAlignment="1">
      <alignment/>
    </xf>
    <xf numFmtId="3" fontId="78" fillId="0" borderId="37" xfId="0" applyNumberFormat="1" applyFont="1" applyFill="1" applyBorder="1" applyAlignment="1">
      <alignment horizontal="center"/>
    </xf>
    <xf numFmtId="3" fontId="0" fillId="2" borderId="11" xfId="0" applyNumberFormat="1" applyFont="1" applyFill="1" applyBorder="1" applyAlignment="1">
      <alignment/>
    </xf>
    <xf numFmtId="3" fontId="78" fillId="0" borderId="14" xfId="0" applyNumberFormat="1" applyFont="1" applyBorder="1" applyAlignment="1">
      <alignment horizontal="center"/>
    </xf>
    <xf numFmtId="3" fontId="3" fillId="0" borderId="53" xfId="0" applyNumberFormat="1" applyFont="1" applyBorder="1" applyAlignment="1">
      <alignment/>
    </xf>
    <xf numFmtId="3" fontId="3" fillId="0" borderId="54" xfId="0" applyNumberFormat="1" applyFont="1" applyBorder="1" applyAlignment="1">
      <alignment/>
    </xf>
    <xf numFmtId="3" fontId="3" fillId="0" borderId="38" xfId="0" applyNumberFormat="1" applyFont="1" applyBorder="1" applyAlignment="1">
      <alignment vertical="center"/>
    </xf>
    <xf numFmtId="3" fontId="3" fillId="0" borderId="38" xfId="0" applyNumberFormat="1" applyFont="1" applyBorder="1" applyAlignment="1">
      <alignment/>
    </xf>
    <xf numFmtId="4" fontId="3" fillId="0" borderId="38" xfId="0" applyNumberFormat="1" applyFont="1" applyBorder="1" applyAlignment="1">
      <alignment/>
    </xf>
    <xf numFmtId="3" fontId="3" fillId="0" borderId="47" xfId="0" applyNumberFormat="1" applyFont="1" applyBorder="1" applyAlignment="1">
      <alignment/>
    </xf>
    <xf numFmtId="3" fontId="78" fillId="0" borderId="14" xfId="0" applyNumberFormat="1" applyFont="1" applyFill="1" applyBorder="1" applyAlignment="1">
      <alignment horizontal="center"/>
    </xf>
    <xf numFmtId="3" fontId="78" fillId="0" borderId="14" xfId="0" applyNumberFormat="1" applyFont="1" applyFill="1" applyBorder="1" applyAlignment="1">
      <alignment horizontal="center" vertical="center"/>
    </xf>
    <xf numFmtId="3" fontId="0" fillId="2" borderId="16" xfId="0" applyNumberFormat="1" applyFont="1" applyFill="1" applyBorder="1" applyAlignment="1">
      <alignment/>
    </xf>
    <xf numFmtId="3" fontId="0" fillId="2" borderId="17" xfId="0" applyNumberFormat="1" applyFont="1" applyFill="1" applyBorder="1" applyAlignment="1">
      <alignment/>
    </xf>
    <xf numFmtId="3" fontId="0" fillId="2" borderId="19" xfId="0" applyNumberFormat="1" applyFont="1" applyFill="1" applyBorder="1" applyAlignment="1">
      <alignment/>
    </xf>
    <xf numFmtId="3" fontId="79" fillId="0" borderId="13" xfId="0" applyNumberFormat="1" applyFont="1" applyBorder="1" applyAlignment="1">
      <alignment horizontal="center"/>
    </xf>
    <xf numFmtId="3" fontId="79" fillId="0" borderId="44" xfId="0" applyNumberFormat="1" applyFont="1" applyFill="1" applyBorder="1" applyAlignment="1">
      <alignment horizontal="center"/>
    </xf>
    <xf numFmtId="3" fontId="79" fillId="0" borderId="18" xfId="0" applyNumberFormat="1" applyFont="1" applyBorder="1" applyAlignment="1">
      <alignment/>
    </xf>
    <xf numFmtId="3" fontId="79" fillId="0" borderId="42" xfId="0" applyNumberFormat="1" applyFont="1" applyBorder="1" applyAlignment="1">
      <alignment horizontal="center"/>
    </xf>
    <xf numFmtId="3" fontId="0" fillId="2" borderId="39" xfId="0" applyNumberFormat="1" applyFont="1" applyFill="1" applyBorder="1" applyAlignment="1">
      <alignment/>
    </xf>
    <xf numFmtId="3" fontId="0" fillId="2" borderId="41" xfId="0" applyNumberFormat="1" applyFont="1" applyFill="1" applyBorder="1" applyAlignment="1">
      <alignment/>
    </xf>
    <xf numFmtId="3" fontId="0" fillId="2" borderId="52" xfId="0" applyNumberFormat="1" applyFont="1" applyFill="1" applyBorder="1" applyAlignment="1">
      <alignment/>
    </xf>
    <xf numFmtId="3" fontId="0" fillId="2" borderId="55" xfId="0" applyNumberFormat="1" applyFont="1" applyFill="1" applyBorder="1" applyAlignment="1">
      <alignment/>
    </xf>
    <xf numFmtId="3" fontId="0" fillId="2" borderId="56" xfId="0" applyNumberFormat="1" applyFont="1" applyFill="1" applyBorder="1" applyAlignment="1">
      <alignment/>
    </xf>
    <xf numFmtId="3" fontId="79" fillId="0" borderId="52" xfId="0" applyNumberFormat="1" applyFont="1" applyFill="1" applyBorder="1" applyAlignment="1">
      <alignment horizontal="center"/>
    </xf>
    <xf numFmtId="3" fontId="79" fillId="0" borderId="0" xfId="0" applyNumberFormat="1" applyFont="1" applyFill="1" applyBorder="1" applyAlignment="1">
      <alignment horizontal="center"/>
    </xf>
    <xf numFmtId="3" fontId="79" fillId="0" borderId="57" xfId="0" applyNumberFormat="1" applyFont="1" applyFill="1" applyBorder="1" applyAlignment="1">
      <alignment horizontal="center"/>
    </xf>
    <xf numFmtId="3" fontId="79" fillId="0" borderId="43" xfId="0" applyNumberFormat="1" applyFont="1" applyFill="1" applyBorder="1" applyAlignment="1">
      <alignment horizontal="center"/>
    </xf>
    <xf numFmtId="3" fontId="79" fillId="0" borderId="55" xfId="0" applyNumberFormat="1" applyFont="1" applyFill="1" applyBorder="1" applyAlignment="1">
      <alignment horizontal="center"/>
    </xf>
    <xf numFmtId="3" fontId="79" fillId="0" borderId="35" xfId="0" applyNumberFormat="1" applyFont="1" applyBorder="1" applyAlignment="1">
      <alignment horizontal="center"/>
    </xf>
    <xf numFmtId="3" fontId="79" fillId="0" borderId="56" xfId="0" applyNumberFormat="1" applyFont="1" applyFill="1" applyBorder="1" applyAlignment="1">
      <alignment horizontal="center"/>
    </xf>
    <xf numFmtId="3" fontId="79" fillId="0" borderId="0" xfId="0" applyNumberFormat="1" applyFont="1" applyBorder="1" applyAlignment="1">
      <alignment horizontal="center" wrapText="1"/>
    </xf>
    <xf numFmtId="3" fontId="79" fillId="0" borderId="0" xfId="0" applyNumberFormat="1" applyFont="1" applyBorder="1" applyAlignment="1">
      <alignment horizontal="center"/>
    </xf>
    <xf numFmtId="4" fontId="79" fillId="0" borderId="0" xfId="0" applyNumberFormat="1" applyFont="1" applyFill="1" applyBorder="1" applyAlignment="1">
      <alignment horizontal="center"/>
    </xf>
    <xf numFmtId="3" fontId="79" fillId="0" borderId="14" xfId="0" applyNumberFormat="1" applyFont="1" applyBorder="1" applyAlignment="1">
      <alignment horizontal="center"/>
    </xf>
    <xf numFmtId="0" fontId="79" fillId="0" borderId="0" xfId="0" applyFont="1" applyAlignment="1">
      <alignment horizontal="center"/>
    </xf>
    <xf numFmtId="3" fontId="79" fillId="0" borderId="58" xfId="0" applyNumberFormat="1" applyFont="1" applyFill="1" applyBorder="1" applyAlignment="1">
      <alignment horizontal="center"/>
    </xf>
    <xf numFmtId="177" fontId="0" fillId="0" borderId="35" xfId="0" applyNumberFormat="1" applyFont="1" applyBorder="1" applyAlignment="1">
      <alignment horizontal="right"/>
    </xf>
    <xf numFmtId="3" fontId="79" fillId="0" borderId="0" xfId="0" applyNumberFormat="1" applyFont="1" applyAlignment="1">
      <alignment horizontal="center"/>
    </xf>
    <xf numFmtId="0" fontId="79" fillId="0" borderId="14" xfId="0" applyFont="1" applyBorder="1" applyAlignment="1">
      <alignment horizontal="center"/>
    </xf>
    <xf numFmtId="0" fontId="79" fillId="0" borderId="18" xfId="0" applyFont="1" applyBorder="1" applyAlignment="1">
      <alignment horizontal="center"/>
    </xf>
    <xf numFmtId="0" fontId="12" fillId="2" borderId="15" xfId="0" applyFont="1" applyFill="1" applyBorder="1" applyAlignment="1">
      <alignment horizontal="left"/>
    </xf>
    <xf numFmtId="0" fontId="11" fillId="2" borderId="13" xfId="0" applyFont="1" applyFill="1" applyBorder="1" applyAlignment="1">
      <alignment horizontal="center"/>
    </xf>
    <xf numFmtId="3" fontId="0" fillId="0" borderId="37" xfId="0" applyNumberFormat="1" applyBorder="1" applyAlignment="1">
      <alignment/>
    </xf>
    <xf numFmtId="0" fontId="0" fillId="0" borderId="12" xfId="0" applyBorder="1" applyAlignment="1">
      <alignment/>
    </xf>
    <xf numFmtId="0" fontId="0" fillId="0" borderId="13" xfId="0" applyBorder="1" applyAlignment="1">
      <alignment/>
    </xf>
    <xf numFmtId="0" fontId="0" fillId="0" borderId="15" xfId="0" applyBorder="1" applyAlignment="1">
      <alignment/>
    </xf>
    <xf numFmtId="0" fontId="79" fillId="0" borderId="13" xfId="0" applyFont="1" applyBorder="1" applyAlignment="1">
      <alignment horizontal="center"/>
    </xf>
    <xf numFmtId="3" fontId="8" fillId="34" borderId="33" xfId="0" applyNumberFormat="1" applyFont="1" applyFill="1" applyBorder="1" applyAlignment="1" applyProtection="1">
      <alignment/>
      <protection locked="0"/>
    </xf>
    <xf numFmtId="3" fontId="4" fillId="34" borderId="25" xfId="0" applyNumberFormat="1" applyFont="1" applyFill="1" applyBorder="1" applyAlignment="1" applyProtection="1">
      <alignment horizontal="center" vertical="center"/>
      <protection locked="0"/>
    </xf>
    <xf numFmtId="0" fontId="4" fillId="34" borderId="25" xfId="0" applyFont="1" applyFill="1" applyBorder="1" applyAlignment="1" applyProtection="1">
      <alignment horizontal="center" vertical="center"/>
      <protection locked="0"/>
    </xf>
    <xf numFmtId="3" fontId="4" fillId="34" borderId="31" xfId="0" applyNumberFormat="1" applyFont="1" applyFill="1" applyBorder="1" applyAlignment="1" applyProtection="1">
      <alignment horizontal="center" vertical="center"/>
      <protection locked="0"/>
    </xf>
    <xf numFmtId="0" fontId="4" fillId="34" borderId="23" xfId="0" applyFont="1" applyFill="1" applyBorder="1" applyAlignment="1" applyProtection="1">
      <alignment vertical="center"/>
      <protection locked="0"/>
    </xf>
    <xf numFmtId="10" fontId="0" fillId="0" borderId="55" xfId="0" applyNumberFormat="1" applyFont="1" applyBorder="1" applyAlignment="1">
      <alignment horizontal="center"/>
    </xf>
    <xf numFmtId="0" fontId="76" fillId="0" borderId="45" xfId="0" applyFont="1" applyBorder="1" applyAlignment="1">
      <alignment horizontal="center"/>
    </xf>
    <xf numFmtId="0" fontId="76" fillId="0" borderId="19" xfId="0" applyFont="1" applyBorder="1" applyAlignment="1">
      <alignment horizontal="center"/>
    </xf>
    <xf numFmtId="0" fontId="0" fillId="0" borderId="59" xfId="0" applyFont="1" applyBorder="1" applyAlignment="1">
      <alignment horizontal="center"/>
    </xf>
    <xf numFmtId="0" fontId="0" fillId="0" borderId="17" xfId="0" applyFont="1" applyBorder="1" applyAlignment="1">
      <alignment horizontal="center"/>
    </xf>
    <xf numFmtId="0" fontId="76" fillId="0" borderId="19" xfId="0" applyFont="1" applyBorder="1" applyAlignment="1">
      <alignment horizontal="center" vertical="center"/>
    </xf>
    <xf numFmtId="0" fontId="76" fillId="0" borderId="19" xfId="0" applyFont="1" applyBorder="1" applyAlignment="1">
      <alignment horizontal="center" wrapText="1"/>
    </xf>
    <xf numFmtId="0" fontId="0" fillId="0" borderId="59" xfId="0" applyFont="1" applyBorder="1" applyAlignment="1">
      <alignment horizontal="center" wrapText="1"/>
    </xf>
    <xf numFmtId="0" fontId="0" fillId="0" borderId="60" xfId="0" applyFont="1" applyBorder="1" applyAlignment="1">
      <alignment horizontal="center"/>
    </xf>
    <xf numFmtId="49" fontId="0" fillId="0" borderId="59" xfId="0" applyNumberFormat="1" applyFont="1" applyBorder="1" applyAlignment="1">
      <alignment horizontal="center" vertical="center"/>
    </xf>
    <xf numFmtId="49" fontId="0" fillId="0" borderId="59" xfId="0" applyNumberFormat="1" applyFont="1" applyBorder="1" applyAlignment="1">
      <alignment horizontal="center"/>
    </xf>
    <xf numFmtId="49" fontId="0" fillId="0" borderId="17" xfId="0" applyNumberFormat="1" applyFont="1" applyBorder="1" applyAlignment="1">
      <alignment horizontal="center"/>
    </xf>
    <xf numFmtId="0" fontId="76" fillId="0" borderId="11" xfId="0" applyFont="1" applyBorder="1" applyAlignment="1">
      <alignment horizontal="center"/>
    </xf>
    <xf numFmtId="49" fontId="0" fillId="0" borderId="61" xfId="0" applyNumberFormat="1" applyFont="1" applyBorder="1" applyAlignment="1">
      <alignment horizontal="center"/>
    </xf>
    <xf numFmtId="0" fontId="76" fillId="0" borderId="14" xfId="0" applyFont="1" applyBorder="1" applyAlignment="1">
      <alignment horizontal="center"/>
    </xf>
    <xf numFmtId="0" fontId="0" fillId="0" borderId="42" xfId="0" applyFont="1" applyBorder="1" applyAlignment="1">
      <alignment wrapText="1"/>
    </xf>
    <xf numFmtId="0" fontId="0" fillId="0" borderId="62" xfId="0" applyFont="1" applyFill="1" applyBorder="1" applyAlignment="1">
      <alignment/>
    </xf>
    <xf numFmtId="10" fontId="0" fillId="0" borderId="0" xfId="0" applyNumberFormat="1" applyFont="1" applyAlignment="1">
      <alignment/>
    </xf>
    <xf numFmtId="0" fontId="80" fillId="0" borderId="0" xfId="0" applyFont="1" applyAlignment="1">
      <alignment/>
    </xf>
    <xf numFmtId="3" fontId="80" fillId="0" borderId="0" xfId="0" applyNumberFormat="1" applyFont="1" applyAlignment="1">
      <alignment/>
    </xf>
    <xf numFmtId="10" fontId="80" fillId="0" borderId="0" xfId="0" applyNumberFormat="1" applyFont="1" applyAlignment="1">
      <alignment/>
    </xf>
    <xf numFmtId="3" fontId="3" fillId="2" borderId="14" xfId="0" applyNumberFormat="1" applyFont="1" applyFill="1" applyBorder="1" applyAlignment="1">
      <alignment horizontal="center" vertical="center" wrapText="1"/>
    </xf>
    <xf numFmtId="10" fontId="3" fillId="2" borderId="43" xfId="0" applyNumberFormat="1" applyFont="1" applyFill="1" applyBorder="1" applyAlignment="1">
      <alignment horizontal="center" vertical="center" wrapText="1"/>
    </xf>
    <xf numFmtId="3" fontId="80" fillId="0" borderId="63" xfId="0" applyNumberFormat="1" applyFont="1" applyBorder="1" applyAlignment="1">
      <alignment/>
    </xf>
    <xf numFmtId="3" fontId="80" fillId="0" borderId="38" xfId="0" applyNumberFormat="1" applyFont="1" applyBorder="1" applyAlignment="1">
      <alignment/>
    </xf>
    <xf numFmtId="3" fontId="80" fillId="2" borderId="40" xfId="0" applyNumberFormat="1" applyFont="1" applyFill="1" applyBorder="1" applyAlignment="1">
      <alignment/>
    </xf>
    <xf numFmtId="0" fontId="80" fillId="2" borderId="40" xfId="0" applyFont="1" applyFill="1" applyBorder="1" applyAlignment="1">
      <alignment/>
    </xf>
    <xf numFmtId="3" fontId="80" fillId="0" borderId="40" xfId="0" applyNumberFormat="1" applyFont="1" applyBorder="1" applyAlignment="1">
      <alignment/>
    </xf>
    <xf numFmtId="0" fontId="80" fillId="0" borderId="40" xfId="0" applyFont="1" applyBorder="1" applyAlignment="1">
      <alignment/>
    </xf>
    <xf numFmtId="3" fontId="81" fillId="0" borderId="14" xfId="0" applyNumberFormat="1" applyFont="1" applyBorder="1" applyAlignment="1">
      <alignment/>
    </xf>
    <xf numFmtId="0" fontId="0" fillId="0" borderId="54" xfId="0" applyFont="1" applyBorder="1" applyAlignment="1">
      <alignment/>
    </xf>
    <xf numFmtId="3" fontId="80" fillId="0" borderId="54" xfId="0" applyNumberFormat="1" applyFont="1" applyBorder="1" applyAlignment="1">
      <alignment/>
    </xf>
    <xf numFmtId="10" fontId="80" fillId="0" borderId="54" xfId="0" applyNumberFormat="1" applyFont="1" applyBorder="1" applyAlignment="1">
      <alignment/>
    </xf>
    <xf numFmtId="10" fontId="0" fillId="0" borderId="54" xfId="0" applyNumberFormat="1" applyFont="1" applyBorder="1" applyAlignment="1">
      <alignment/>
    </xf>
    <xf numFmtId="0" fontId="0" fillId="0" borderId="38" xfId="0" applyFont="1" applyBorder="1" applyAlignment="1">
      <alignment/>
    </xf>
    <xf numFmtId="10" fontId="80" fillId="0" borderId="38" xfId="0" applyNumberFormat="1" applyFont="1" applyBorder="1" applyAlignment="1">
      <alignment/>
    </xf>
    <xf numFmtId="0" fontId="0" fillId="0" borderId="38" xfId="0" applyFont="1" applyBorder="1" applyAlignment="1">
      <alignment wrapText="1"/>
    </xf>
    <xf numFmtId="3" fontId="80" fillId="0" borderId="38" xfId="0" applyNumberFormat="1" applyFont="1" applyBorder="1" applyAlignment="1">
      <alignment vertical="center"/>
    </xf>
    <xf numFmtId="10" fontId="80" fillId="0" borderId="38" xfId="0" applyNumberFormat="1" applyFont="1" applyBorder="1" applyAlignment="1">
      <alignment vertical="center"/>
    </xf>
    <xf numFmtId="0" fontId="80" fillId="0" borderId="38" xfId="0" applyFont="1" applyBorder="1" applyAlignment="1">
      <alignment/>
    </xf>
    <xf numFmtId="3" fontId="80" fillId="2" borderId="38" xfId="0" applyNumberFormat="1" applyFont="1" applyFill="1" applyBorder="1" applyAlignment="1">
      <alignment/>
    </xf>
    <xf numFmtId="10" fontId="80" fillId="2" borderId="38" xfId="0" applyNumberFormat="1" applyFont="1" applyFill="1" applyBorder="1" applyAlignment="1">
      <alignment/>
    </xf>
    <xf numFmtId="0" fontId="0" fillId="0" borderId="40" xfId="0" applyFont="1" applyBorder="1" applyAlignment="1">
      <alignment/>
    </xf>
    <xf numFmtId="10" fontId="80" fillId="0" borderId="40" xfId="0" applyNumberFormat="1" applyFont="1" applyBorder="1" applyAlignment="1">
      <alignment/>
    </xf>
    <xf numFmtId="10" fontId="3" fillId="0" borderId="14" xfId="0" applyNumberFormat="1" applyFont="1" applyBorder="1" applyAlignment="1">
      <alignment/>
    </xf>
    <xf numFmtId="10" fontId="81" fillId="0" borderId="14" xfId="0" applyNumberFormat="1" applyFont="1" applyBorder="1" applyAlignment="1">
      <alignment/>
    </xf>
    <xf numFmtId="0" fontId="0" fillId="0" borderId="64" xfId="0" applyFont="1" applyBorder="1" applyAlignment="1">
      <alignment vertical="center"/>
    </xf>
    <xf numFmtId="3" fontId="80" fillId="0" borderId="54" xfId="0" applyNumberFormat="1" applyFont="1" applyBorder="1" applyAlignment="1">
      <alignment vertical="center"/>
    </xf>
    <xf numFmtId="10" fontId="80" fillId="0" borderId="54" xfId="0" applyNumberFormat="1" applyFont="1" applyBorder="1" applyAlignment="1">
      <alignment vertical="center"/>
    </xf>
    <xf numFmtId="0" fontId="80" fillId="0" borderId="54" xfId="0" applyFont="1" applyBorder="1" applyAlignment="1">
      <alignment/>
    </xf>
    <xf numFmtId="0" fontId="0" fillId="0" borderId="60" xfId="0" applyFont="1" applyBorder="1" applyAlignment="1">
      <alignment vertical="center"/>
    </xf>
    <xf numFmtId="0" fontId="0" fillId="0" borderId="65" xfId="0" applyFont="1" applyBorder="1" applyAlignment="1">
      <alignment vertical="center"/>
    </xf>
    <xf numFmtId="3" fontId="80" fillId="0" borderId="40" xfId="0" applyNumberFormat="1" applyFont="1" applyBorder="1" applyAlignment="1">
      <alignment vertical="center"/>
    </xf>
    <xf numFmtId="10" fontId="80" fillId="0" borderId="40" xfId="0" applyNumberFormat="1" applyFont="1" applyBorder="1" applyAlignment="1">
      <alignment vertical="center"/>
    </xf>
    <xf numFmtId="10" fontId="80" fillId="0" borderId="14" xfId="0" applyNumberFormat="1" applyFont="1" applyBorder="1" applyAlignment="1">
      <alignment/>
    </xf>
    <xf numFmtId="3" fontId="80" fillId="0" borderId="12" xfId="0" applyNumberFormat="1" applyFont="1" applyBorder="1" applyAlignment="1">
      <alignment/>
    </xf>
    <xf numFmtId="10" fontId="3" fillId="0" borderId="13" xfId="0" applyNumberFormat="1" applyFont="1" applyBorder="1" applyAlignment="1">
      <alignment/>
    </xf>
    <xf numFmtId="3" fontId="3" fillId="0" borderId="12" xfId="0" applyNumberFormat="1" applyFont="1" applyBorder="1" applyAlignment="1">
      <alignment/>
    </xf>
    <xf numFmtId="10" fontId="3" fillId="0" borderId="45" xfId="0" applyNumberFormat="1" applyFont="1" applyBorder="1" applyAlignment="1">
      <alignment/>
    </xf>
    <xf numFmtId="10" fontId="80" fillId="0" borderId="13" xfId="0" applyNumberFormat="1" applyFont="1" applyBorder="1" applyAlignment="1">
      <alignment/>
    </xf>
    <xf numFmtId="3" fontId="80" fillId="0" borderId="18" xfId="0" applyNumberFormat="1" applyFont="1" applyBorder="1" applyAlignment="1">
      <alignment/>
    </xf>
    <xf numFmtId="3" fontId="80" fillId="0" borderId="14" xfId="0" applyNumberFormat="1" applyFont="1" applyBorder="1" applyAlignment="1">
      <alignment/>
    </xf>
    <xf numFmtId="3" fontId="3" fillId="0" borderId="14" xfId="0" applyNumberFormat="1" applyFont="1" applyBorder="1" applyAlignment="1">
      <alignment vertical="center"/>
    </xf>
    <xf numFmtId="3" fontId="3" fillId="0" borderId="15" xfId="0" applyNumberFormat="1" applyFont="1" applyBorder="1" applyAlignment="1">
      <alignment vertical="center"/>
    </xf>
    <xf numFmtId="3" fontId="3" fillId="0" borderId="10" xfId="0" applyNumberFormat="1" applyFont="1" applyBorder="1" applyAlignment="1">
      <alignment vertical="center"/>
    </xf>
    <xf numFmtId="10" fontId="80" fillId="0" borderId="0" xfId="0" applyNumberFormat="1" applyFont="1" applyBorder="1" applyAlignment="1">
      <alignment/>
    </xf>
    <xf numFmtId="0" fontId="81" fillId="0" borderId="0" xfId="0" applyFont="1" applyAlignment="1">
      <alignment horizontal="center"/>
    </xf>
    <xf numFmtId="3" fontId="80" fillId="2" borderId="14" xfId="0" applyNumberFormat="1" applyFont="1" applyFill="1" applyBorder="1" applyAlignment="1">
      <alignment/>
    </xf>
    <xf numFmtId="10" fontId="81" fillId="0" borderId="14" xfId="0" applyNumberFormat="1" applyFont="1" applyBorder="1" applyAlignment="1">
      <alignment vertical="center"/>
    </xf>
    <xf numFmtId="0" fontId="80" fillId="2" borderId="43" xfId="0" applyFont="1" applyFill="1" applyBorder="1" applyAlignment="1">
      <alignment/>
    </xf>
    <xf numFmtId="10" fontId="80" fillId="2" borderId="43" xfId="0" applyNumberFormat="1" applyFont="1" applyFill="1" applyBorder="1" applyAlignment="1">
      <alignment/>
    </xf>
    <xf numFmtId="10" fontId="80" fillId="0" borderId="14" xfId="0" applyNumberFormat="1" applyFont="1" applyBorder="1" applyAlignment="1">
      <alignment vertical="center"/>
    </xf>
    <xf numFmtId="0" fontId="80" fillId="2" borderId="18" xfId="0" applyFont="1" applyFill="1" applyBorder="1" applyAlignment="1">
      <alignment/>
    </xf>
    <xf numFmtId="3" fontId="80" fillId="0" borderId="47" xfId="0" applyNumberFormat="1" applyFont="1" applyBorder="1" applyAlignment="1">
      <alignment/>
    </xf>
    <xf numFmtId="10" fontId="80" fillId="0" borderId="12" xfId="0" applyNumberFormat="1" applyFont="1" applyBorder="1" applyAlignment="1">
      <alignment/>
    </xf>
    <xf numFmtId="0" fontId="0" fillId="0" borderId="19" xfId="0" applyFont="1" applyFill="1" applyBorder="1" applyAlignment="1">
      <alignment/>
    </xf>
    <xf numFmtId="3" fontId="80" fillId="0" borderId="13" xfId="0" applyNumberFormat="1" applyFont="1" applyBorder="1" applyAlignment="1">
      <alignment/>
    </xf>
    <xf numFmtId="0" fontId="81" fillId="2" borderId="66" xfId="0" applyFont="1" applyFill="1" applyBorder="1" applyAlignment="1">
      <alignment horizontal="center" vertical="center" wrapText="1"/>
    </xf>
    <xf numFmtId="10" fontId="3" fillId="2" borderId="14" xfId="0" applyNumberFormat="1" applyFont="1" applyFill="1" applyBorder="1" applyAlignment="1">
      <alignment horizontal="center" vertical="center" wrapText="1"/>
    </xf>
    <xf numFmtId="0" fontId="80" fillId="0" borderId="51" xfId="0" applyFont="1" applyBorder="1" applyAlignment="1">
      <alignment wrapText="1"/>
    </xf>
    <xf numFmtId="4" fontId="80" fillId="0" borderId="13" xfId="0" applyNumberFormat="1" applyFont="1" applyBorder="1" applyAlignment="1">
      <alignment/>
    </xf>
    <xf numFmtId="3" fontId="0" fillId="36" borderId="18" xfId="0" applyNumberFormat="1" applyFont="1" applyFill="1" applyBorder="1" applyAlignment="1">
      <alignment/>
    </xf>
    <xf numFmtId="177" fontId="0" fillId="36" borderId="35" xfId="0" applyNumberFormat="1" applyFont="1" applyFill="1" applyBorder="1" applyAlignment="1">
      <alignment/>
    </xf>
    <xf numFmtId="177" fontId="0" fillId="36" borderId="35" xfId="0" applyNumberFormat="1" applyFont="1" applyFill="1" applyBorder="1" applyAlignment="1">
      <alignment vertical="center"/>
    </xf>
    <xf numFmtId="3" fontId="0" fillId="36" borderId="0" xfId="0" applyNumberFormat="1" applyFont="1" applyFill="1" applyAlignment="1">
      <alignment/>
    </xf>
    <xf numFmtId="3" fontId="0" fillId="36" borderId="14" xfId="0" applyNumberFormat="1" applyFont="1" applyFill="1" applyBorder="1" applyAlignment="1">
      <alignment/>
    </xf>
    <xf numFmtId="3" fontId="0" fillId="36" borderId="38" xfId="0" applyNumberFormat="1" applyFont="1" applyFill="1" applyBorder="1" applyAlignment="1">
      <alignment/>
    </xf>
    <xf numFmtId="3" fontId="0" fillId="36" borderId="13" xfId="0" applyNumberFormat="1" applyFont="1" applyFill="1" applyBorder="1" applyAlignment="1">
      <alignment/>
    </xf>
    <xf numFmtId="3" fontId="0" fillId="36" borderId="13" xfId="0" applyNumberFormat="1" applyFont="1" applyFill="1" applyBorder="1" applyAlignment="1">
      <alignment vertical="center"/>
    </xf>
    <xf numFmtId="3" fontId="0" fillId="36" borderId="47" xfId="0" applyNumberFormat="1" applyFont="1" applyFill="1" applyBorder="1" applyAlignment="1">
      <alignment/>
    </xf>
    <xf numFmtId="177" fontId="0" fillId="36" borderId="35" xfId="0" applyNumberFormat="1" applyFont="1" applyFill="1" applyBorder="1" applyAlignment="1">
      <alignment/>
    </xf>
    <xf numFmtId="177" fontId="0" fillId="36" borderId="67" xfId="0" applyNumberFormat="1" applyFont="1" applyFill="1" applyBorder="1" applyAlignment="1">
      <alignment/>
    </xf>
    <xf numFmtId="177" fontId="0" fillId="36" borderId="53" xfId="0" applyNumberFormat="1" applyFont="1" applyFill="1" applyBorder="1" applyAlignment="1">
      <alignment/>
    </xf>
    <xf numFmtId="177" fontId="0" fillId="36" borderId="35" xfId="0" applyNumberFormat="1" applyFont="1" applyFill="1" applyBorder="1" applyAlignment="1">
      <alignment wrapText="1"/>
    </xf>
    <xf numFmtId="177" fontId="0" fillId="36" borderId="35" xfId="0" applyNumberFormat="1" applyFont="1" applyFill="1" applyBorder="1" applyAlignment="1">
      <alignment horizontal="left"/>
    </xf>
    <xf numFmtId="177" fontId="0" fillId="36" borderId="68" xfId="0" applyNumberFormat="1" applyFont="1" applyFill="1" applyBorder="1" applyAlignment="1">
      <alignment/>
    </xf>
    <xf numFmtId="3" fontId="0" fillId="2" borderId="44" xfId="0" applyNumberFormat="1" applyFont="1" applyFill="1" applyBorder="1" applyAlignment="1">
      <alignment/>
    </xf>
    <xf numFmtId="3" fontId="0" fillId="2" borderId="0" xfId="0" applyNumberFormat="1" applyFont="1" applyFill="1" applyBorder="1" applyAlignment="1">
      <alignment/>
    </xf>
    <xf numFmtId="3" fontId="0" fillId="2" borderId="58" xfId="0" applyNumberFormat="1" applyFont="1" applyFill="1" applyBorder="1" applyAlignment="1">
      <alignment/>
    </xf>
    <xf numFmtId="3" fontId="0" fillId="2" borderId="50" xfId="0" applyNumberFormat="1" applyFont="1" applyFill="1" applyBorder="1" applyAlignment="1">
      <alignment/>
    </xf>
    <xf numFmtId="0" fontId="3" fillId="0" borderId="67" xfId="0" applyFont="1" applyBorder="1" applyAlignment="1">
      <alignment/>
    </xf>
    <xf numFmtId="3" fontId="0" fillId="0" borderId="67" xfId="0" applyNumberFormat="1" applyFont="1" applyBorder="1" applyAlignment="1">
      <alignment/>
    </xf>
    <xf numFmtId="3" fontId="3" fillId="0" borderId="67" xfId="0" applyNumberFormat="1" applyFont="1" applyBorder="1" applyAlignment="1">
      <alignment/>
    </xf>
    <xf numFmtId="3" fontId="0" fillId="2" borderId="69" xfId="0" applyNumberFormat="1" applyFont="1" applyFill="1" applyBorder="1" applyAlignment="1">
      <alignment/>
    </xf>
    <xf numFmtId="3" fontId="0" fillId="2" borderId="70" xfId="0" applyNumberFormat="1" applyFont="1" applyFill="1" applyBorder="1" applyAlignment="1">
      <alignment/>
    </xf>
    <xf numFmtId="3" fontId="0" fillId="2" borderId="67" xfId="0" applyNumberFormat="1" applyFont="1" applyFill="1" applyBorder="1" applyAlignment="1">
      <alignment/>
    </xf>
    <xf numFmtId="10" fontId="3" fillId="0" borderId="14" xfId="0" applyNumberFormat="1" applyFont="1" applyFill="1" applyBorder="1" applyAlignment="1">
      <alignment wrapText="1"/>
    </xf>
    <xf numFmtId="0" fontId="76" fillId="0" borderId="42" xfId="0" applyFont="1" applyBorder="1" applyAlignment="1">
      <alignment horizontal="center"/>
    </xf>
    <xf numFmtId="177" fontId="3" fillId="0" borderId="58" xfId="0" applyNumberFormat="1" applyFont="1" applyBorder="1" applyAlignment="1">
      <alignment horizontal="left"/>
    </xf>
    <xf numFmtId="177" fontId="0" fillId="0" borderId="35" xfId="0" applyNumberFormat="1" applyFont="1" applyBorder="1" applyAlignment="1">
      <alignment horizontal="left"/>
    </xf>
    <xf numFmtId="177" fontId="0" fillId="0" borderId="35" xfId="0" applyNumberFormat="1" applyFont="1" applyFill="1" applyBorder="1" applyAlignment="1">
      <alignment horizontal="left"/>
    </xf>
    <xf numFmtId="177" fontId="0" fillId="0" borderId="0" xfId="0" applyNumberFormat="1" applyFont="1" applyBorder="1" applyAlignment="1">
      <alignment horizontal="center"/>
    </xf>
    <xf numFmtId="177" fontId="3" fillId="0" borderId="35" xfId="0" applyNumberFormat="1" applyFont="1" applyBorder="1" applyAlignment="1">
      <alignment horizontal="left"/>
    </xf>
    <xf numFmtId="177" fontId="0" fillId="0" borderId="35" xfId="0" applyNumberFormat="1" applyFont="1" applyBorder="1" applyAlignment="1">
      <alignment horizontal="left" wrapText="1"/>
    </xf>
    <xf numFmtId="177" fontId="3" fillId="0" borderId="35" xfId="0" applyNumberFormat="1" applyFont="1" applyBorder="1" applyAlignment="1">
      <alignment horizontal="left" vertical="center" wrapText="1"/>
    </xf>
    <xf numFmtId="0" fontId="81" fillId="0" borderId="35" xfId="0" applyFont="1" applyBorder="1" applyAlignment="1">
      <alignment wrapText="1"/>
    </xf>
    <xf numFmtId="177" fontId="3" fillId="0" borderId="35" xfId="0" applyNumberFormat="1" applyFont="1" applyBorder="1" applyAlignment="1">
      <alignment horizontal="left" wrapText="1"/>
    </xf>
    <xf numFmtId="177" fontId="0" fillId="0" borderId="67" xfId="0" applyNumberFormat="1" applyFont="1" applyBorder="1" applyAlignment="1">
      <alignment horizontal="left"/>
    </xf>
    <xf numFmtId="14" fontId="0" fillId="0" borderId="35" xfId="0" applyNumberFormat="1" applyFont="1" applyBorder="1" applyAlignment="1">
      <alignment horizontal="left" wrapText="1"/>
    </xf>
    <xf numFmtId="177" fontId="0" fillId="0" borderId="53" xfId="0" applyNumberFormat="1" applyFont="1" applyBorder="1" applyAlignment="1">
      <alignment horizontal="left"/>
    </xf>
    <xf numFmtId="177" fontId="0" fillId="0" borderId="71" xfId="0" applyNumberFormat="1" applyFont="1" applyBorder="1" applyAlignment="1">
      <alignment horizontal="left"/>
    </xf>
    <xf numFmtId="177" fontId="3" fillId="0" borderId="53" xfId="0" applyNumberFormat="1" applyFont="1" applyBorder="1" applyAlignment="1">
      <alignment horizontal="left"/>
    </xf>
    <xf numFmtId="177" fontId="0" fillId="0" borderId="68" xfId="0" applyNumberFormat="1" applyFont="1" applyBorder="1" applyAlignment="1">
      <alignment horizontal="left"/>
    </xf>
    <xf numFmtId="0" fontId="3" fillId="2" borderId="18" xfId="0" applyFont="1" applyFill="1" applyBorder="1" applyAlignment="1">
      <alignment horizontal="center" vertical="center" wrapText="1"/>
    </xf>
    <xf numFmtId="0" fontId="79" fillId="0" borderId="0" xfId="0" applyFont="1" applyAlignment="1">
      <alignment horizontal="center"/>
    </xf>
    <xf numFmtId="177" fontId="0" fillId="36" borderId="35" xfId="0" applyNumberFormat="1" applyFont="1" applyFill="1" applyBorder="1" applyAlignment="1">
      <alignment horizontal="right"/>
    </xf>
    <xf numFmtId="41" fontId="0" fillId="0" borderId="13" xfId="49" applyFont="1" applyBorder="1" applyAlignment="1">
      <alignment/>
    </xf>
    <xf numFmtId="3" fontId="0" fillId="0" borderId="38" xfId="0" applyNumberFormat="1" applyFont="1" applyFill="1" applyBorder="1" applyAlignment="1">
      <alignment/>
    </xf>
    <xf numFmtId="3" fontId="0" fillId="0" borderId="40" xfId="0" applyNumberFormat="1" applyFont="1" applyFill="1" applyBorder="1" applyAlignment="1">
      <alignment/>
    </xf>
    <xf numFmtId="0" fontId="0" fillId="0" borderId="45" xfId="0" applyFont="1" applyBorder="1" applyAlignment="1">
      <alignment/>
    </xf>
    <xf numFmtId="0" fontId="0" fillId="0" borderId="46" xfId="0" applyFont="1" applyBorder="1" applyAlignment="1">
      <alignment/>
    </xf>
    <xf numFmtId="10" fontId="0" fillId="0" borderId="37" xfId="0" applyNumberFormat="1" applyFont="1" applyBorder="1" applyAlignment="1">
      <alignment/>
    </xf>
    <xf numFmtId="3" fontId="0" fillId="0" borderId="60" xfId="0" applyNumberFormat="1" applyFont="1" applyBorder="1" applyAlignment="1">
      <alignment/>
    </xf>
    <xf numFmtId="10" fontId="0" fillId="0" borderId="0" xfId="0" applyNumberFormat="1" applyFont="1" applyBorder="1" applyAlignment="1">
      <alignment/>
    </xf>
    <xf numFmtId="0" fontId="3" fillId="0" borderId="11" xfId="0" applyFont="1" applyBorder="1" applyAlignment="1">
      <alignment/>
    </xf>
    <xf numFmtId="0" fontId="18" fillId="35" borderId="27" xfId="0" applyFont="1" applyFill="1" applyBorder="1" applyAlignment="1" applyProtection="1">
      <alignment horizontal="left" vertical="center" wrapText="1"/>
      <protection/>
    </xf>
    <xf numFmtId="0" fontId="18" fillId="35" borderId="0" xfId="0" applyFont="1" applyFill="1" applyBorder="1" applyAlignment="1" applyProtection="1">
      <alignment horizontal="left" vertical="center" wrapText="1"/>
      <protection/>
    </xf>
    <xf numFmtId="0" fontId="18" fillId="35" borderId="28" xfId="0" applyFont="1" applyFill="1" applyBorder="1" applyAlignment="1" applyProtection="1">
      <alignment horizontal="left" vertical="center" wrapText="1"/>
      <protection/>
    </xf>
    <xf numFmtId="3" fontId="4" fillId="35" borderId="27" xfId="0" applyNumberFormat="1" applyFont="1" applyFill="1" applyBorder="1" applyAlignment="1" applyProtection="1">
      <alignment horizontal="right" vertical="center"/>
      <protection/>
    </xf>
    <xf numFmtId="3" fontId="4" fillId="35" borderId="0" xfId="0" applyNumberFormat="1" applyFont="1" applyFill="1" applyBorder="1" applyAlignment="1" applyProtection="1">
      <alignment horizontal="right" vertical="center"/>
      <protection/>
    </xf>
    <xf numFmtId="3" fontId="4" fillId="35" borderId="28" xfId="0" applyNumberFormat="1" applyFont="1" applyFill="1" applyBorder="1" applyAlignment="1" applyProtection="1">
      <alignment horizontal="right" vertical="center"/>
      <protection/>
    </xf>
    <xf numFmtId="0" fontId="16" fillId="0" borderId="27" xfId="0" applyFont="1" applyFill="1" applyBorder="1" applyAlignment="1" applyProtection="1">
      <alignment horizontal="left" vertical="center" wrapText="1"/>
      <protection/>
    </xf>
    <xf numFmtId="0" fontId="16" fillId="0" borderId="0" xfId="0" applyFont="1" applyFill="1" applyBorder="1" applyAlignment="1" applyProtection="1">
      <alignment horizontal="left" vertical="center" wrapText="1"/>
      <protection/>
    </xf>
    <xf numFmtId="0" fontId="16" fillId="0" borderId="28" xfId="0" applyFont="1" applyFill="1" applyBorder="1" applyAlignment="1" applyProtection="1">
      <alignment horizontal="left" vertical="center" wrapText="1"/>
      <protection/>
    </xf>
    <xf numFmtId="0" fontId="16" fillId="35" borderId="27" xfId="0" applyFont="1" applyFill="1" applyBorder="1" applyAlignment="1" applyProtection="1">
      <alignment horizontal="left" vertical="center" wrapText="1"/>
      <protection/>
    </xf>
    <xf numFmtId="0" fontId="16" fillId="35" borderId="0" xfId="0" applyFont="1" applyFill="1" applyBorder="1" applyAlignment="1" applyProtection="1">
      <alignment horizontal="left" vertical="center" wrapText="1"/>
      <protection/>
    </xf>
    <xf numFmtId="3" fontId="8" fillId="35" borderId="26" xfId="0" applyNumberFormat="1" applyFont="1" applyFill="1" applyBorder="1" applyAlignment="1" applyProtection="1">
      <alignment horizontal="right" vertical="center"/>
      <protection/>
    </xf>
    <xf numFmtId="3" fontId="8" fillId="35" borderId="21" xfId="0" applyNumberFormat="1" applyFont="1" applyFill="1" applyBorder="1" applyAlignment="1" applyProtection="1">
      <alignment horizontal="right" vertical="center"/>
      <protection/>
    </xf>
    <xf numFmtId="3" fontId="8" fillId="35" borderId="22" xfId="0" applyNumberFormat="1" applyFont="1" applyFill="1" applyBorder="1" applyAlignment="1" applyProtection="1">
      <alignment horizontal="right" vertical="center"/>
      <protection/>
    </xf>
    <xf numFmtId="3" fontId="4" fillId="0" borderId="27" xfId="0" applyNumberFormat="1" applyFont="1" applyFill="1" applyBorder="1" applyAlignment="1" applyProtection="1">
      <alignment horizontal="right" vertical="center" wrapText="1"/>
      <protection/>
    </xf>
    <xf numFmtId="3" fontId="4" fillId="0" borderId="0" xfId="0" applyNumberFormat="1" applyFont="1" applyFill="1" applyBorder="1" applyAlignment="1" applyProtection="1">
      <alignment horizontal="right" vertical="center" wrapText="1"/>
      <protection/>
    </xf>
    <xf numFmtId="3" fontId="4" fillId="0" borderId="28" xfId="0" applyNumberFormat="1" applyFont="1" applyFill="1" applyBorder="1" applyAlignment="1" applyProtection="1">
      <alignment horizontal="right" vertical="center" wrapText="1"/>
      <protection/>
    </xf>
    <xf numFmtId="0" fontId="2" fillId="34" borderId="72" xfId="0" applyFont="1" applyFill="1" applyBorder="1" applyAlignment="1" applyProtection="1">
      <alignment horizontal="center" vertical="center" wrapText="1"/>
      <protection/>
    </xf>
    <xf numFmtId="0" fontId="2" fillId="34" borderId="36" xfId="0" applyFont="1" applyFill="1" applyBorder="1" applyAlignment="1" applyProtection="1">
      <alignment horizontal="center" vertical="center" wrapText="1"/>
      <protection/>
    </xf>
    <xf numFmtId="0" fontId="2" fillId="0" borderId="72" xfId="0" applyFont="1" applyFill="1" applyBorder="1" applyAlignment="1" applyProtection="1">
      <alignment horizontal="center" vertical="center"/>
      <protection hidden="1"/>
    </xf>
    <xf numFmtId="0" fontId="2" fillId="0" borderId="36" xfId="0" applyFont="1" applyFill="1" applyBorder="1" applyAlignment="1" applyProtection="1">
      <alignment horizontal="center" vertical="center"/>
      <protection hidden="1"/>
    </xf>
    <xf numFmtId="0" fontId="2" fillId="34" borderId="36" xfId="0" applyFont="1" applyFill="1" applyBorder="1" applyAlignment="1" applyProtection="1">
      <alignment horizontal="center" vertical="center"/>
      <protection/>
    </xf>
    <xf numFmtId="3" fontId="8" fillId="0" borderId="27" xfId="0" applyNumberFormat="1" applyFont="1" applyFill="1" applyBorder="1" applyAlignment="1" applyProtection="1">
      <alignment horizontal="right" vertical="center"/>
      <protection/>
    </xf>
    <xf numFmtId="3" fontId="8" fillId="0" borderId="0" xfId="0" applyNumberFormat="1" applyFont="1" applyFill="1" applyBorder="1" applyAlignment="1" applyProtection="1">
      <alignment horizontal="right" vertical="center"/>
      <protection/>
    </xf>
    <xf numFmtId="3" fontId="8" fillId="0" borderId="28" xfId="0" applyNumberFormat="1" applyFont="1" applyFill="1" applyBorder="1" applyAlignment="1" applyProtection="1">
      <alignment horizontal="right" vertical="center"/>
      <protection/>
    </xf>
    <xf numFmtId="0" fontId="18" fillId="0" borderId="27" xfId="0" applyFont="1" applyFill="1" applyBorder="1" applyAlignment="1" applyProtection="1">
      <alignment horizontal="left" vertical="center" wrapText="1"/>
      <protection/>
    </xf>
    <xf numFmtId="0" fontId="18" fillId="0" borderId="0" xfId="0" applyFont="1" applyFill="1" applyBorder="1" applyAlignment="1" applyProtection="1">
      <alignment horizontal="left" vertical="center" wrapText="1"/>
      <protection/>
    </xf>
    <xf numFmtId="0" fontId="15" fillId="0" borderId="32" xfId="0" applyFont="1" applyFill="1" applyBorder="1" applyAlignment="1" applyProtection="1">
      <alignment horizontal="center" vertical="center" textRotation="90" wrapText="1"/>
      <protection/>
    </xf>
    <xf numFmtId="0" fontId="6" fillId="35" borderId="27" xfId="0" applyFont="1" applyFill="1" applyBorder="1" applyAlignment="1" applyProtection="1">
      <alignment horizontal="left" vertical="center" wrapText="1"/>
      <protection/>
    </xf>
    <xf numFmtId="0" fontId="6" fillId="35" borderId="0" xfId="0" applyFont="1" applyFill="1" applyBorder="1" applyAlignment="1" applyProtection="1">
      <alignment horizontal="left" vertical="center" wrapText="1"/>
      <protection/>
    </xf>
    <xf numFmtId="3" fontId="8" fillId="0" borderId="27" xfId="0" applyNumberFormat="1" applyFont="1" applyBorder="1" applyAlignment="1">
      <alignment horizontal="right" vertical="center"/>
    </xf>
    <xf numFmtId="3" fontId="8" fillId="0" borderId="0" xfId="0" applyNumberFormat="1" applyFont="1" applyBorder="1" applyAlignment="1">
      <alignment horizontal="right" vertical="center"/>
    </xf>
    <xf numFmtId="3" fontId="8" fillId="0" borderId="28" xfId="0" applyNumberFormat="1" applyFont="1" applyBorder="1" applyAlignment="1">
      <alignment horizontal="right" vertical="center"/>
    </xf>
    <xf numFmtId="0" fontId="8" fillId="0" borderId="27" xfId="0" applyFont="1" applyBorder="1" applyAlignment="1">
      <alignment horizontal="right"/>
    </xf>
    <xf numFmtId="0" fontId="8" fillId="0" borderId="0" xfId="0" applyFont="1" applyAlignment="1">
      <alignment horizontal="right"/>
    </xf>
    <xf numFmtId="3" fontId="4" fillId="35" borderId="26" xfId="0" applyNumberFormat="1" applyFont="1" applyFill="1" applyBorder="1" applyAlignment="1" applyProtection="1">
      <alignment horizontal="right" vertical="center"/>
      <protection/>
    </xf>
    <xf numFmtId="3" fontId="4" fillId="35" borderId="21" xfId="0" applyNumberFormat="1" applyFont="1" applyFill="1" applyBorder="1" applyAlignment="1" applyProtection="1">
      <alignment horizontal="right" vertical="center"/>
      <protection/>
    </xf>
    <xf numFmtId="3" fontId="4" fillId="35" borderId="22" xfId="0" applyNumberFormat="1" applyFont="1" applyFill="1" applyBorder="1" applyAlignment="1" applyProtection="1">
      <alignment horizontal="right" vertical="center"/>
      <protection/>
    </xf>
    <xf numFmtId="0" fontId="18" fillId="0" borderId="28" xfId="0" applyFont="1" applyFill="1" applyBorder="1" applyAlignment="1" applyProtection="1">
      <alignment horizontal="left" vertical="center" wrapText="1"/>
      <protection/>
    </xf>
    <xf numFmtId="0" fontId="16" fillId="35" borderId="28" xfId="0" applyFont="1" applyFill="1" applyBorder="1" applyAlignment="1" applyProtection="1">
      <alignment horizontal="left" vertical="center" wrapText="1"/>
      <protection/>
    </xf>
    <xf numFmtId="0" fontId="2" fillId="34" borderId="36" xfId="0" applyFont="1" applyFill="1" applyBorder="1" applyAlignment="1" applyProtection="1">
      <alignment horizontal="center" vertical="center" wrapText="1"/>
      <protection hidden="1"/>
    </xf>
    <xf numFmtId="0" fontId="2" fillId="34" borderId="73"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top" wrapText="1"/>
      <protection hidden="1"/>
    </xf>
    <xf numFmtId="0" fontId="2" fillId="0" borderId="73" xfId="0" applyFont="1" applyFill="1" applyBorder="1" applyAlignment="1" applyProtection="1">
      <alignment horizontal="center" vertical="top" wrapText="1"/>
      <protection hidden="1"/>
    </xf>
    <xf numFmtId="3" fontId="8" fillId="35" borderId="29" xfId="0" applyNumberFormat="1" applyFont="1" applyFill="1" applyBorder="1" applyAlignment="1" applyProtection="1">
      <alignment horizontal="right" vertical="center"/>
      <protection/>
    </xf>
    <xf numFmtId="3" fontId="8" fillId="35" borderId="30" xfId="0" applyNumberFormat="1" applyFont="1" applyFill="1" applyBorder="1" applyAlignment="1" applyProtection="1">
      <alignment horizontal="right" vertical="center"/>
      <protection/>
    </xf>
    <xf numFmtId="3" fontId="8" fillId="35" borderId="31" xfId="0" applyNumberFormat="1" applyFont="1" applyFill="1" applyBorder="1" applyAlignment="1" applyProtection="1">
      <alignment horizontal="right" vertical="center"/>
      <protection/>
    </xf>
    <xf numFmtId="3" fontId="4" fillId="35" borderId="30" xfId="0" applyNumberFormat="1" applyFont="1" applyFill="1" applyBorder="1" applyAlignment="1" applyProtection="1">
      <alignment horizontal="right" vertical="center"/>
      <protection locked="0"/>
    </xf>
    <xf numFmtId="3" fontId="4" fillId="35" borderId="31" xfId="0" applyNumberFormat="1" applyFont="1" applyFill="1" applyBorder="1" applyAlignment="1" applyProtection="1">
      <alignment horizontal="right" vertical="center"/>
      <protection locked="0"/>
    </xf>
    <xf numFmtId="3" fontId="8" fillId="34" borderId="0" xfId="0" applyNumberFormat="1" applyFont="1" applyFill="1" applyBorder="1" applyAlignment="1" applyProtection="1">
      <alignment horizontal="right" vertical="center"/>
      <protection locked="0"/>
    </xf>
    <xf numFmtId="0" fontId="8" fillId="34" borderId="0" xfId="0" applyFont="1" applyFill="1" applyBorder="1" applyAlignment="1" applyProtection="1">
      <alignment horizontal="right" vertical="center"/>
      <protection locked="0"/>
    </xf>
    <xf numFmtId="0" fontId="8" fillId="34" borderId="28" xfId="0" applyFont="1" applyFill="1" applyBorder="1" applyAlignment="1" applyProtection="1">
      <alignment horizontal="right" vertical="center"/>
      <protection locked="0"/>
    </xf>
    <xf numFmtId="0" fontId="8" fillId="35" borderId="27" xfId="0" applyFont="1" applyFill="1" applyBorder="1" applyAlignment="1" applyProtection="1">
      <alignment horizontal="right" vertical="center"/>
      <protection locked="0"/>
    </xf>
    <xf numFmtId="0" fontId="8" fillId="35" borderId="0" xfId="0" applyFont="1" applyFill="1" applyBorder="1" applyAlignment="1" applyProtection="1">
      <alignment horizontal="right" vertical="center"/>
      <protection locked="0"/>
    </xf>
    <xf numFmtId="0" fontId="8" fillId="35" borderId="28" xfId="0" applyFont="1" applyFill="1" applyBorder="1" applyAlignment="1" applyProtection="1">
      <alignment horizontal="right" vertical="center"/>
      <protection locked="0"/>
    </xf>
    <xf numFmtId="3" fontId="8" fillId="35" borderId="27" xfId="0" applyNumberFormat="1" applyFont="1" applyFill="1" applyBorder="1" applyAlignment="1" applyProtection="1">
      <alignment horizontal="right" vertical="center" wrapText="1"/>
      <protection/>
    </xf>
    <xf numFmtId="3" fontId="8" fillId="35" borderId="0" xfId="0" applyNumberFormat="1" applyFont="1" applyFill="1" applyBorder="1" applyAlignment="1" applyProtection="1">
      <alignment horizontal="right" vertical="center" wrapText="1"/>
      <protection/>
    </xf>
    <xf numFmtId="3" fontId="8" fillId="35" borderId="28" xfId="0" applyNumberFormat="1" applyFont="1" applyFill="1" applyBorder="1" applyAlignment="1" applyProtection="1">
      <alignment horizontal="right" vertical="center" wrapText="1"/>
      <protection/>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3" fontId="4" fillId="0" borderId="29" xfId="0" applyNumberFormat="1" applyFont="1" applyFill="1" applyBorder="1" applyAlignment="1" applyProtection="1">
      <alignment horizontal="right" vertical="center"/>
      <protection/>
    </xf>
    <xf numFmtId="3" fontId="4" fillId="0" borderId="30" xfId="0" applyNumberFormat="1" applyFont="1" applyFill="1" applyBorder="1" applyAlignment="1" applyProtection="1">
      <alignment horizontal="right" vertical="center"/>
      <protection/>
    </xf>
    <xf numFmtId="3" fontId="4" fillId="0" borderId="31" xfId="0" applyNumberFormat="1" applyFont="1" applyFill="1" applyBorder="1" applyAlignment="1" applyProtection="1">
      <alignment horizontal="right" vertical="center"/>
      <protection/>
    </xf>
    <xf numFmtId="3" fontId="8" fillId="35" borderId="0" xfId="0" applyNumberFormat="1" applyFont="1" applyFill="1" applyBorder="1" applyAlignment="1" applyProtection="1">
      <alignment horizontal="right" vertical="center"/>
      <protection/>
    </xf>
    <xf numFmtId="3" fontId="8" fillId="35" borderId="28" xfId="0" applyNumberFormat="1" applyFont="1" applyFill="1" applyBorder="1" applyAlignment="1" applyProtection="1">
      <alignment horizontal="right" vertical="center"/>
      <protection/>
    </xf>
    <xf numFmtId="0" fontId="18" fillId="0" borderId="29" xfId="0" applyFont="1" applyFill="1" applyBorder="1" applyAlignment="1" applyProtection="1">
      <alignment horizontal="left" vertical="center" wrapText="1"/>
      <protection/>
    </xf>
    <xf numFmtId="0" fontId="18" fillId="0" borderId="30" xfId="0" applyFont="1" applyFill="1" applyBorder="1" applyAlignment="1" applyProtection="1">
      <alignment horizontal="left" vertical="center" wrapText="1"/>
      <protection/>
    </xf>
    <xf numFmtId="0" fontId="18" fillId="0" borderId="31" xfId="0" applyFont="1" applyFill="1" applyBorder="1" applyAlignment="1" applyProtection="1">
      <alignment horizontal="left" vertical="center" wrapText="1"/>
      <protection/>
    </xf>
    <xf numFmtId="0" fontId="16" fillId="35" borderId="29" xfId="0" applyFont="1" applyFill="1" applyBorder="1" applyAlignment="1" applyProtection="1">
      <alignment horizontal="left" vertical="center" wrapText="1"/>
      <protection/>
    </xf>
    <xf numFmtId="0" fontId="16" fillId="35" borderId="30" xfId="0" applyFont="1" applyFill="1" applyBorder="1" applyAlignment="1" applyProtection="1">
      <alignment horizontal="left" vertical="center" wrapText="1"/>
      <protection/>
    </xf>
    <xf numFmtId="0" fontId="16" fillId="35" borderId="31" xfId="0" applyFont="1" applyFill="1" applyBorder="1" applyAlignment="1" applyProtection="1">
      <alignment horizontal="left" vertical="center" wrapText="1"/>
      <protection/>
    </xf>
    <xf numFmtId="3" fontId="4" fillId="34" borderId="0" xfId="0" applyNumberFormat="1" applyFont="1" applyFill="1" applyBorder="1" applyAlignment="1" applyProtection="1">
      <alignment horizontal="right" vertical="center"/>
      <protection locked="0"/>
    </xf>
    <xf numFmtId="0" fontId="4" fillId="34" borderId="0" xfId="0" applyFont="1" applyFill="1" applyBorder="1" applyAlignment="1" applyProtection="1">
      <alignment horizontal="right" vertical="center"/>
      <protection locked="0"/>
    </xf>
    <xf numFmtId="0" fontId="4" fillId="34" borderId="28" xfId="0" applyFont="1" applyFill="1" applyBorder="1" applyAlignment="1" applyProtection="1">
      <alignment horizontal="right" vertical="center"/>
      <protection locked="0"/>
    </xf>
    <xf numFmtId="3" fontId="4" fillId="35" borderId="27" xfId="0" applyNumberFormat="1" applyFont="1" applyFill="1" applyBorder="1" applyAlignment="1" applyProtection="1">
      <alignment horizontal="right" vertical="center"/>
      <protection locked="0"/>
    </xf>
    <xf numFmtId="0" fontId="4" fillId="35" borderId="0" xfId="0" applyFont="1" applyFill="1" applyBorder="1" applyAlignment="1" applyProtection="1">
      <alignment horizontal="right" vertical="center"/>
      <protection locked="0"/>
    </xf>
    <xf numFmtId="0" fontId="4" fillId="35" borderId="28" xfId="0" applyFont="1" applyFill="1" applyBorder="1" applyAlignment="1" applyProtection="1">
      <alignment horizontal="right" vertical="center"/>
      <protection locked="0"/>
    </xf>
    <xf numFmtId="0" fontId="18" fillId="35" borderId="26" xfId="0" applyFont="1" applyFill="1" applyBorder="1" applyAlignment="1" applyProtection="1">
      <alignment horizontal="left" vertical="center" wrapText="1"/>
      <protection/>
    </xf>
    <xf numFmtId="0" fontId="18" fillId="35" borderId="21" xfId="0" applyFont="1" applyFill="1" applyBorder="1" applyAlignment="1" applyProtection="1">
      <alignment horizontal="left" vertical="center" wrapText="1"/>
      <protection/>
    </xf>
    <xf numFmtId="0" fontId="18" fillId="35" borderId="22" xfId="0" applyFont="1" applyFill="1" applyBorder="1" applyAlignment="1" applyProtection="1">
      <alignment horizontal="left" vertical="center" wrapText="1"/>
      <protection/>
    </xf>
    <xf numFmtId="0" fontId="4" fillId="34" borderId="33" xfId="0" applyFont="1" applyFill="1" applyBorder="1" applyAlignment="1" applyProtection="1">
      <alignment horizontal="center" vertical="center" textRotation="90" wrapText="1"/>
      <protection/>
    </xf>
    <xf numFmtId="0" fontId="4" fillId="34" borderId="32" xfId="0" applyFont="1" applyFill="1" applyBorder="1" applyAlignment="1" applyProtection="1">
      <alignment horizontal="center" vertical="center" textRotation="90" wrapText="1"/>
      <protection/>
    </xf>
    <xf numFmtId="0" fontId="4" fillId="34" borderId="23" xfId="0" applyFont="1" applyFill="1" applyBorder="1" applyAlignment="1" applyProtection="1">
      <alignment horizontal="center" vertical="center" textRotation="90" wrapText="1"/>
      <protection/>
    </xf>
    <xf numFmtId="0" fontId="18" fillId="0" borderId="29" xfId="0" applyFont="1" applyFill="1" applyBorder="1" applyAlignment="1" applyProtection="1">
      <alignment vertical="center" wrapText="1"/>
      <protection/>
    </xf>
    <xf numFmtId="0" fontId="18" fillId="0" borderId="30" xfId="0" applyFont="1" applyFill="1" applyBorder="1" applyAlignment="1" applyProtection="1">
      <alignment vertical="center" wrapText="1"/>
      <protection/>
    </xf>
    <xf numFmtId="0" fontId="18" fillId="0" borderId="31" xfId="0" applyFont="1" applyFill="1" applyBorder="1" applyAlignment="1" applyProtection="1">
      <alignment vertical="center" wrapText="1"/>
      <protection/>
    </xf>
    <xf numFmtId="0" fontId="18" fillId="35" borderId="29" xfId="0" applyFont="1" applyFill="1" applyBorder="1" applyAlignment="1" applyProtection="1">
      <alignment horizontal="left" vertical="center" wrapText="1"/>
      <protection/>
    </xf>
    <xf numFmtId="0" fontId="18" fillId="35" borderId="30" xfId="0" applyFont="1" applyFill="1" applyBorder="1" applyAlignment="1" applyProtection="1">
      <alignment horizontal="left" vertical="center" wrapText="1"/>
      <protection/>
    </xf>
    <xf numFmtId="0" fontId="18" fillId="35" borderId="31" xfId="0" applyFont="1" applyFill="1" applyBorder="1" applyAlignment="1" applyProtection="1">
      <alignment horizontal="left" vertical="center" wrapText="1"/>
      <protection/>
    </xf>
    <xf numFmtId="0" fontId="1" fillId="0" borderId="0" xfId="0" applyFont="1" applyFill="1" applyBorder="1" applyAlignment="1" applyProtection="1">
      <alignment horizontal="center" vertical="center" wrapText="1"/>
      <protection/>
    </xf>
    <xf numFmtId="0" fontId="17" fillId="34" borderId="74" xfId="0" applyFont="1" applyFill="1" applyBorder="1" applyAlignment="1" applyProtection="1">
      <alignment horizontal="center" vertical="center" wrapText="1"/>
      <protection/>
    </xf>
    <xf numFmtId="0" fontId="17" fillId="34" borderId="75" xfId="0" applyFont="1" applyFill="1" applyBorder="1" applyAlignment="1" applyProtection="1">
      <alignment horizontal="center" vertical="center" wrapText="1"/>
      <protection/>
    </xf>
    <xf numFmtId="0" fontId="17" fillId="34" borderId="76" xfId="0" applyFont="1" applyFill="1" applyBorder="1" applyAlignment="1" applyProtection="1">
      <alignment horizontal="center" vertical="center" wrapText="1"/>
      <protection/>
    </xf>
    <xf numFmtId="0" fontId="17" fillId="34" borderId="77" xfId="0" applyFont="1" applyFill="1" applyBorder="1" applyAlignment="1" applyProtection="1">
      <alignment horizontal="center" vertical="center" wrapText="1"/>
      <protection/>
    </xf>
    <xf numFmtId="0" fontId="17" fillId="34" borderId="78" xfId="0" applyFont="1" applyFill="1" applyBorder="1" applyAlignment="1" applyProtection="1">
      <alignment horizontal="center" vertical="center" wrapText="1"/>
      <protection/>
    </xf>
    <xf numFmtId="0" fontId="17" fillId="34" borderId="79" xfId="0" applyFont="1" applyFill="1" applyBorder="1" applyAlignment="1" applyProtection="1">
      <alignment horizontal="center" vertical="center" wrapText="1"/>
      <protection/>
    </xf>
    <xf numFmtId="0" fontId="17" fillId="34" borderId="80" xfId="0" applyFont="1" applyFill="1" applyBorder="1" applyAlignment="1" applyProtection="1">
      <alignment horizontal="center" vertical="center" wrapText="1"/>
      <protection/>
    </xf>
    <xf numFmtId="0" fontId="17" fillId="34" borderId="81" xfId="0" applyFont="1" applyFill="1" applyBorder="1" applyAlignment="1" applyProtection="1">
      <alignment horizontal="center" vertical="center" wrapText="1"/>
      <protection/>
    </xf>
    <xf numFmtId="0" fontId="17" fillId="34" borderId="82" xfId="0" applyFont="1" applyFill="1" applyBorder="1" applyAlignment="1" applyProtection="1">
      <alignment horizontal="center" vertical="center" wrapText="1"/>
      <protection/>
    </xf>
    <xf numFmtId="49" fontId="14" fillId="0" borderId="0" xfId="0" applyNumberFormat="1" applyFont="1" applyFill="1" applyBorder="1" applyAlignment="1" applyProtection="1">
      <alignment horizontal="center" vertical="center"/>
      <protection/>
    </xf>
    <xf numFmtId="0" fontId="16" fillId="35" borderId="26" xfId="0" applyFont="1" applyFill="1" applyBorder="1" applyAlignment="1" applyProtection="1">
      <alignment horizontal="left" vertical="center" wrapText="1"/>
      <protection/>
    </xf>
    <xf numFmtId="0" fontId="16" fillId="35" borderId="21" xfId="0" applyFont="1" applyFill="1" applyBorder="1" applyAlignment="1" applyProtection="1">
      <alignment horizontal="left" vertical="center" wrapText="1"/>
      <protection/>
    </xf>
    <xf numFmtId="0" fontId="16" fillId="35" borderId="22" xfId="0" applyFont="1" applyFill="1" applyBorder="1" applyAlignment="1" applyProtection="1">
      <alignment horizontal="left" vertical="center" wrapText="1"/>
      <protection/>
    </xf>
    <xf numFmtId="0" fontId="0" fillId="34" borderId="74" xfId="0" applyFont="1" applyFill="1" applyBorder="1" applyAlignment="1" applyProtection="1">
      <alignment horizontal="center"/>
      <protection/>
    </xf>
    <xf numFmtId="0" fontId="0" fillId="34" borderId="75" xfId="0" applyFont="1" applyFill="1" applyBorder="1" applyAlignment="1" applyProtection="1">
      <alignment horizontal="center"/>
      <protection/>
    </xf>
    <xf numFmtId="0" fontId="0" fillId="34" borderId="76" xfId="0" applyFont="1" applyFill="1" applyBorder="1" applyAlignment="1" applyProtection="1">
      <alignment horizontal="center"/>
      <protection/>
    </xf>
    <xf numFmtId="0" fontId="0" fillId="34" borderId="77" xfId="0" applyFont="1" applyFill="1" applyBorder="1" applyAlignment="1" applyProtection="1">
      <alignment horizontal="center"/>
      <protection/>
    </xf>
    <xf numFmtId="0" fontId="0" fillId="34" borderId="78" xfId="0" applyFont="1" applyFill="1" applyBorder="1" applyAlignment="1" applyProtection="1">
      <alignment horizontal="center"/>
      <protection/>
    </xf>
    <xf numFmtId="0" fontId="0" fillId="34" borderId="79" xfId="0" applyFont="1" applyFill="1" applyBorder="1" applyAlignment="1" applyProtection="1">
      <alignment horizontal="center"/>
      <protection/>
    </xf>
    <xf numFmtId="0" fontId="0" fillId="34" borderId="80" xfId="0" applyFont="1" applyFill="1" applyBorder="1" applyAlignment="1" applyProtection="1">
      <alignment horizontal="center"/>
      <protection/>
    </xf>
    <xf numFmtId="0" fontId="0" fillId="34" borderId="81" xfId="0" applyFont="1" applyFill="1" applyBorder="1" applyAlignment="1" applyProtection="1">
      <alignment horizontal="center"/>
      <protection/>
    </xf>
    <xf numFmtId="0" fontId="0" fillId="34" borderId="82" xfId="0" applyFont="1" applyFill="1" applyBorder="1" applyAlignment="1" applyProtection="1">
      <alignment horizontal="center"/>
      <protection/>
    </xf>
    <xf numFmtId="0" fontId="82" fillId="35" borderId="83" xfId="0" applyFont="1" applyFill="1" applyBorder="1" applyAlignment="1">
      <alignment horizontal="center"/>
    </xf>
    <xf numFmtId="0" fontId="82" fillId="35" borderId="84" xfId="0" applyFont="1" applyFill="1" applyBorder="1" applyAlignment="1">
      <alignment horizontal="center"/>
    </xf>
    <xf numFmtId="0" fontId="82" fillId="35" borderId="85" xfId="0" applyFont="1" applyFill="1" applyBorder="1" applyAlignment="1">
      <alignment horizontal="center"/>
    </xf>
    <xf numFmtId="0" fontId="13" fillId="34" borderId="86" xfId="0" applyFont="1" applyFill="1" applyBorder="1" applyAlignment="1" applyProtection="1">
      <alignment horizontal="center" vertical="top" wrapText="1"/>
      <protection/>
    </xf>
    <xf numFmtId="0" fontId="13" fillId="34" borderId="87" xfId="0" applyFont="1" applyFill="1" applyBorder="1" applyAlignment="1" applyProtection="1">
      <alignment horizontal="center" vertical="top" wrapText="1"/>
      <protection/>
    </xf>
    <xf numFmtId="0" fontId="13" fillId="34" borderId="88" xfId="0" applyFont="1" applyFill="1" applyBorder="1" applyAlignment="1" applyProtection="1">
      <alignment horizontal="center" vertical="top" wrapText="1"/>
      <protection/>
    </xf>
    <xf numFmtId="0" fontId="13" fillId="34" borderId="89" xfId="0" applyFont="1" applyFill="1" applyBorder="1" applyAlignment="1" applyProtection="1">
      <alignment horizontal="center" vertical="top" wrapText="1"/>
      <protection/>
    </xf>
    <xf numFmtId="0" fontId="13" fillId="34" borderId="90" xfId="0" applyFont="1" applyFill="1" applyBorder="1" applyAlignment="1" applyProtection="1">
      <alignment horizontal="center" vertical="top" wrapText="1"/>
      <protection/>
    </xf>
    <xf numFmtId="0" fontId="13" fillId="34" borderId="78" xfId="0" applyFont="1" applyFill="1" applyBorder="1" applyAlignment="1" applyProtection="1">
      <alignment horizontal="center" vertical="top" wrapText="1"/>
      <protection/>
    </xf>
    <xf numFmtId="0" fontId="13" fillId="34" borderId="91" xfId="0" applyFont="1" applyFill="1" applyBorder="1" applyAlignment="1" applyProtection="1">
      <alignment horizontal="center" vertical="top" wrapText="1"/>
      <protection/>
    </xf>
    <xf numFmtId="0" fontId="13" fillId="34" borderId="92" xfId="0" applyFont="1" applyFill="1" applyBorder="1" applyAlignment="1" applyProtection="1">
      <alignment horizontal="center" vertical="top" wrapText="1"/>
      <protection/>
    </xf>
    <xf numFmtId="0" fontId="13" fillId="34" borderId="93" xfId="0" applyFont="1" applyFill="1" applyBorder="1" applyAlignment="1" applyProtection="1">
      <alignment horizontal="center" vertical="top" wrapText="1"/>
      <protection/>
    </xf>
    <xf numFmtId="0" fontId="13" fillId="34" borderId="94" xfId="0" applyFont="1" applyFill="1" applyBorder="1" applyAlignment="1" applyProtection="1">
      <alignment horizontal="center" vertical="top" wrapText="1"/>
      <protection/>
    </xf>
    <xf numFmtId="0" fontId="13" fillId="34" borderId="95" xfId="0" applyFont="1" applyFill="1" applyBorder="1" applyAlignment="1" applyProtection="1">
      <alignment horizontal="center" vertical="top" wrapText="1"/>
      <protection/>
    </xf>
    <xf numFmtId="0" fontId="13" fillId="34" borderId="96" xfId="0" applyFont="1" applyFill="1" applyBorder="1" applyAlignment="1" applyProtection="1">
      <alignment horizontal="center" vertical="top" wrapText="1"/>
      <protection/>
    </xf>
    <xf numFmtId="49" fontId="83" fillId="37" borderId="74" xfId="0" applyNumberFormat="1" applyFont="1" applyFill="1" applyBorder="1" applyAlignment="1" applyProtection="1">
      <alignment horizontal="center" vertical="center"/>
      <protection/>
    </xf>
    <xf numFmtId="49" fontId="83" fillId="37" borderId="75" xfId="0" applyNumberFormat="1" applyFont="1" applyFill="1" applyBorder="1" applyAlignment="1" applyProtection="1">
      <alignment horizontal="center" vertical="center"/>
      <protection/>
    </xf>
    <xf numFmtId="49" fontId="83" fillId="37" borderId="97" xfId="0" applyNumberFormat="1" applyFont="1" applyFill="1" applyBorder="1" applyAlignment="1" applyProtection="1">
      <alignment horizontal="center" vertical="center"/>
      <protection/>
    </xf>
    <xf numFmtId="49" fontId="83" fillId="37" borderId="77" xfId="0" applyNumberFormat="1" applyFont="1" applyFill="1" applyBorder="1" applyAlignment="1" applyProtection="1">
      <alignment horizontal="center" vertical="center"/>
      <protection/>
    </xf>
    <xf numFmtId="49" fontId="83" fillId="37" borderId="78" xfId="0" applyNumberFormat="1" applyFont="1" applyFill="1" applyBorder="1" applyAlignment="1" applyProtection="1">
      <alignment horizontal="center" vertical="center"/>
      <protection/>
    </xf>
    <xf numFmtId="49" fontId="83" fillId="37" borderId="91" xfId="0" applyNumberFormat="1" applyFont="1" applyFill="1" applyBorder="1" applyAlignment="1" applyProtection="1">
      <alignment horizontal="center" vertical="center"/>
      <protection/>
    </xf>
    <xf numFmtId="49" fontId="83" fillId="37" borderId="80" xfId="0" applyNumberFormat="1" applyFont="1" applyFill="1" applyBorder="1" applyAlignment="1" applyProtection="1">
      <alignment horizontal="center" vertical="center"/>
      <protection/>
    </xf>
    <xf numFmtId="49" fontId="83" fillId="37" borderId="81" xfId="0" applyNumberFormat="1" applyFont="1" applyFill="1" applyBorder="1" applyAlignment="1" applyProtection="1">
      <alignment horizontal="center" vertical="center"/>
      <protection/>
    </xf>
    <xf numFmtId="49" fontId="83" fillId="37" borderId="98" xfId="0" applyNumberFormat="1" applyFont="1" applyFill="1" applyBorder="1" applyAlignment="1" applyProtection="1">
      <alignment horizontal="center" vertical="center"/>
      <protection/>
    </xf>
    <xf numFmtId="0" fontId="84" fillId="38" borderId="74" xfId="0" applyFont="1" applyFill="1" applyBorder="1" applyAlignment="1" applyProtection="1">
      <alignment horizontal="center" vertical="center" wrapText="1"/>
      <protection/>
    </xf>
    <xf numFmtId="0" fontId="84" fillId="38" borderId="99" xfId="0" applyFont="1" applyFill="1" applyBorder="1" applyAlignment="1" applyProtection="1">
      <alignment horizontal="center" vertical="center" wrapText="1"/>
      <protection/>
    </xf>
    <xf numFmtId="0" fontId="84" fillId="38" borderId="75" xfId="0" applyFont="1" applyFill="1" applyBorder="1" applyAlignment="1" applyProtection="1">
      <alignment horizontal="center" vertical="center" wrapText="1"/>
      <protection/>
    </xf>
    <xf numFmtId="0" fontId="84" fillId="38" borderId="76" xfId="0" applyFont="1" applyFill="1" applyBorder="1" applyAlignment="1" applyProtection="1">
      <alignment horizontal="center" vertical="center" wrapText="1"/>
      <protection/>
    </xf>
    <xf numFmtId="0" fontId="84" fillId="38" borderId="77" xfId="0" applyFont="1" applyFill="1" applyBorder="1" applyAlignment="1" applyProtection="1">
      <alignment horizontal="center" vertical="center" wrapText="1"/>
      <protection/>
    </xf>
    <xf numFmtId="0" fontId="84" fillId="38" borderId="100" xfId="0" applyFont="1" applyFill="1" applyBorder="1" applyAlignment="1" applyProtection="1">
      <alignment horizontal="center" vertical="center" wrapText="1"/>
      <protection/>
    </xf>
    <xf numFmtId="0" fontId="84" fillId="38" borderId="78" xfId="0" applyFont="1" applyFill="1" applyBorder="1" applyAlignment="1" applyProtection="1">
      <alignment horizontal="center" vertical="center" wrapText="1"/>
      <protection/>
    </xf>
    <xf numFmtId="0" fontId="84" fillId="38" borderId="79" xfId="0" applyFont="1" applyFill="1" applyBorder="1" applyAlignment="1" applyProtection="1">
      <alignment horizontal="center" vertical="center" wrapText="1"/>
      <protection/>
    </xf>
    <xf numFmtId="0" fontId="84" fillId="38" borderId="80" xfId="0" applyFont="1" applyFill="1" applyBorder="1" applyAlignment="1" applyProtection="1">
      <alignment horizontal="center" vertical="center" wrapText="1"/>
      <protection/>
    </xf>
    <xf numFmtId="0" fontId="84" fillId="38" borderId="101" xfId="0" applyFont="1" applyFill="1" applyBorder="1" applyAlignment="1" applyProtection="1">
      <alignment horizontal="center" vertical="center" wrapText="1"/>
      <protection/>
    </xf>
    <xf numFmtId="0" fontId="84" fillId="38" borderId="81" xfId="0" applyFont="1" applyFill="1" applyBorder="1" applyAlignment="1" applyProtection="1">
      <alignment horizontal="center" vertical="center" wrapText="1"/>
      <protection/>
    </xf>
    <xf numFmtId="0" fontId="84" fillId="38" borderId="82" xfId="0" applyFont="1" applyFill="1" applyBorder="1" applyAlignment="1" applyProtection="1">
      <alignment horizontal="center" vertical="center" wrapText="1"/>
      <protection/>
    </xf>
    <xf numFmtId="3" fontId="4" fillId="35" borderId="0" xfId="0" applyNumberFormat="1" applyFont="1" applyFill="1" applyBorder="1" applyAlignment="1" applyProtection="1">
      <alignment horizontal="right" vertical="center"/>
      <protection locked="0"/>
    </xf>
    <xf numFmtId="3" fontId="4" fillId="35" borderId="28" xfId="0" applyNumberFormat="1" applyFont="1" applyFill="1" applyBorder="1" applyAlignment="1" applyProtection="1">
      <alignment horizontal="right" vertical="center"/>
      <protection locked="0"/>
    </xf>
    <xf numFmtId="3" fontId="4" fillId="35" borderId="29" xfId="0" applyNumberFormat="1" applyFont="1" applyFill="1" applyBorder="1" applyAlignment="1" applyProtection="1">
      <alignment horizontal="right" vertical="center"/>
      <protection hidden="1"/>
    </xf>
    <xf numFmtId="3" fontId="4" fillId="35" borderId="30" xfId="0" applyNumberFormat="1" applyFont="1" applyFill="1" applyBorder="1" applyAlignment="1" applyProtection="1">
      <alignment horizontal="right" vertical="center"/>
      <protection hidden="1"/>
    </xf>
    <xf numFmtId="3" fontId="4" fillId="35" borderId="31" xfId="0" applyNumberFormat="1" applyFont="1" applyFill="1" applyBorder="1" applyAlignment="1" applyProtection="1">
      <alignment horizontal="right" vertical="center"/>
      <protection hidden="1"/>
    </xf>
    <xf numFmtId="3" fontId="8" fillId="35" borderId="21" xfId="0" applyNumberFormat="1" applyFont="1" applyFill="1" applyBorder="1" applyAlignment="1" applyProtection="1">
      <alignment horizontal="right" vertical="center"/>
      <protection hidden="1"/>
    </xf>
    <xf numFmtId="3" fontId="8" fillId="35" borderId="22" xfId="0" applyNumberFormat="1" applyFont="1" applyFill="1" applyBorder="1" applyAlignment="1" applyProtection="1">
      <alignment horizontal="right" vertical="center"/>
      <protection hidden="1"/>
    </xf>
    <xf numFmtId="3" fontId="4" fillId="34" borderId="0" xfId="0" applyNumberFormat="1" applyFont="1" applyFill="1" applyBorder="1" applyAlignment="1" applyProtection="1">
      <alignment horizontal="right" vertical="center"/>
      <protection hidden="1"/>
    </xf>
    <xf numFmtId="3" fontId="4" fillId="34" borderId="28" xfId="0" applyNumberFormat="1" applyFont="1" applyFill="1" applyBorder="1" applyAlignment="1" applyProtection="1">
      <alignment horizontal="right" vertical="center"/>
      <protection hidden="1"/>
    </xf>
    <xf numFmtId="0" fontId="2" fillId="34" borderId="86" xfId="0" applyFont="1" applyFill="1" applyBorder="1" applyAlignment="1" applyProtection="1">
      <alignment horizontal="left" vertical="top"/>
      <protection/>
    </xf>
    <xf numFmtId="0" fontId="2" fillId="34" borderId="87" xfId="0" applyFont="1" applyFill="1" applyBorder="1" applyAlignment="1" applyProtection="1">
      <alignment horizontal="left" vertical="top"/>
      <protection/>
    </xf>
    <xf numFmtId="0" fontId="2" fillId="34" borderId="89" xfId="0" applyFont="1" applyFill="1" applyBorder="1" applyAlignment="1" applyProtection="1">
      <alignment horizontal="left" vertical="top"/>
      <protection/>
    </xf>
    <xf numFmtId="0" fontId="2" fillId="34" borderId="90" xfId="0" applyFont="1" applyFill="1" applyBorder="1" applyAlignment="1" applyProtection="1">
      <alignment horizontal="left" vertical="top"/>
      <protection/>
    </xf>
    <xf numFmtId="0" fontId="2" fillId="34" borderId="78" xfId="0" applyFont="1" applyFill="1" applyBorder="1" applyAlignment="1" applyProtection="1">
      <alignment horizontal="left" vertical="top"/>
      <protection/>
    </xf>
    <xf numFmtId="0" fontId="2" fillId="34" borderId="92" xfId="0" applyFont="1" applyFill="1" applyBorder="1" applyAlignment="1" applyProtection="1">
      <alignment horizontal="left" vertical="top"/>
      <protection/>
    </xf>
    <xf numFmtId="0" fontId="2" fillId="34" borderId="93" xfId="0" applyFont="1" applyFill="1" applyBorder="1" applyAlignment="1" applyProtection="1">
      <alignment horizontal="left" vertical="top"/>
      <protection/>
    </xf>
    <xf numFmtId="0" fontId="2" fillId="34" borderId="94" xfId="0" applyFont="1" applyFill="1" applyBorder="1" applyAlignment="1" applyProtection="1">
      <alignment horizontal="left" vertical="top"/>
      <protection/>
    </xf>
    <xf numFmtId="0" fontId="2" fillId="34" borderId="96" xfId="0" applyFont="1" applyFill="1" applyBorder="1" applyAlignment="1" applyProtection="1">
      <alignment horizontal="left" vertical="top"/>
      <protection/>
    </xf>
    <xf numFmtId="0" fontId="2" fillId="0" borderId="27" xfId="0" applyFont="1" applyBorder="1" applyAlignment="1">
      <alignment horizontal="left" wrapText="1"/>
    </xf>
    <xf numFmtId="0" fontId="2" fillId="0" borderId="0" xfId="0" applyFont="1" applyBorder="1" applyAlignment="1">
      <alignment horizontal="left" wrapText="1"/>
    </xf>
    <xf numFmtId="0" fontId="2" fillId="0" borderId="28" xfId="0" applyFont="1" applyBorder="1" applyAlignment="1">
      <alignment horizontal="left" wrapText="1"/>
    </xf>
    <xf numFmtId="1" fontId="5" fillId="34" borderId="0" xfId="0" applyNumberFormat="1" applyFont="1" applyFill="1" applyAlignment="1" applyProtection="1">
      <alignment horizontal="center" vertical="center"/>
      <protection/>
    </xf>
    <xf numFmtId="3" fontId="4" fillId="0" borderId="0" xfId="0" applyNumberFormat="1" applyFont="1" applyFill="1" applyBorder="1" applyAlignment="1" applyProtection="1">
      <alignment horizontal="right" vertical="center"/>
      <protection locked="0"/>
    </xf>
    <xf numFmtId="3" fontId="4" fillId="0" borderId="28" xfId="0" applyNumberFormat="1" applyFont="1" applyFill="1" applyBorder="1" applyAlignment="1" applyProtection="1">
      <alignment horizontal="right" vertical="center"/>
      <protection locked="0"/>
    </xf>
    <xf numFmtId="3" fontId="8" fillId="0" borderId="0" xfId="0" applyNumberFormat="1" applyFont="1" applyFill="1" applyBorder="1" applyAlignment="1" applyProtection="1">
      <alignment horizontal="right" vertical="center"/>
      <protection locked="0"/>
    </xf>
    <xf numFmtId="3" fontId="8" fillId="0" borderId="28" xfId="0" applyNumberFormat="1" applyFont="1" applyFill="1" applyBorder="1" applyAlignment="1" applyProtection="1">
      <alignment horizontal="right" vertical="center"/>
      <protection locked="0"/>
    </xf>
    <xf numFmtId="0" fontId="85" fillId="34" borderId="21" xfId="0" applyFont="1" applyFill="1" applyBorder="1" applyAlignment="1" applyProtection="1">
      <alignment horizontal="left" vertical="center"/>
      <protection/>
    </xf>
    <xf numFmtId="0" fontId="9" fillId="34" borderId="0" xfId="0" applyFont="1" applyFill="1" applyBorder="1" applyAlignment="1" applyProtection="1">
      <alignment horizontal="center" vertical="center"/>
      <protection/>
    </xf>
    <xf numFmtId="3" fontId="8" fillId="34" borderId="0" xfId="0" applyNumberFormat="1" applyFont="1" applyFill="1" applyBorder="1" applyAlignment="1" applyProtection="1">
      <alignment horizontal="right" vertical="center"/>
      <protection hidden="1"/>
    </xf>
    <xf numFmtId="3" fontId="8" fillId="34" borderId="28" xfId="0" applyNumberFormat="1" applyFont="1" applyFill="1" applyBorder="1" applyAlignment="1" applyProtection="1">
      <alignment horizontal="right" vertical="center"/>
      <protection hidden="1"/>
    </xf>
    <xf numFmtId="49" fontId="9" fillId="34" borderId="0" xfId="0" applyNumberFormat="1" applyFont="1" applyFill="1" applyBorder="1" applyAlignment="1" applyProtection="1">
      <alignment horizontal="left" vertical="center"/>
      <protection/>
    </xf>
    <xf numFmtId="0" fontId="6" fillId="34" borderId="27" xfId="0" applyFont="1" applyFill="1" applyBorder="1" applyAlignment="1" applyProtection="1">
      <alignment horizontal="center" vertical="top" wrapText="1"/>
      <protection/>
    </xf>
    <xf numFmtId="0" fontId="3" fillId="34" borderId="0" xfId="0" applyFont="1" applyFill="1" applyBorder="1" applyAlignment="1">
      <alignment horizontal="center" wrapText="1"/>
    </xf>
    <xf numFmtId="3" fontId="4" fillId="34" borderId="28" xfId="0" applyNumberFormat="1" applyFont="1" applyFill="1" applyBorder="1" applyAlignment="1" applyProtection="1">
      <alignment horizontal="right" vertical="center"/>
      <protection locked="0"/>
    </xf>
    <xf numFmtId="3" fontId="8" fillId="35" borderId="0" xfId="0" applyNumberFormat="1" applyFont="1" applyFill="1" applyBorder="1" applyAlignment="1" applyProtection="1">
      <alignment horizontal="right" vertical="center"/>
      <protection locked="0"/>
    </xf>
    <xf numFmtId="3" fontId="3" fillId="34" borderId="0" xfId="0" applyNumberFormat="1" applyFont="1" applyFill="1" applyBorder="1" applyAlignment="1" applyProtection="1">
      <alignment horizontal="right" vertical="center"/>
      <protection locked="0"/>
    </xf>
    <xf numFmtId="0" fontId="2" fillId="35" borderId="27"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wrapText="1"/>
      <protection/>
    </xf>
    <xf numFmtId="0" fontId="0" fillId="35" borderId="28" xfId="0" applyFont="1" applyFill="1" applyBorder="1" applyAlignment="1">
      <alignment horizontal="left"/>
    </xf>
    <xf numFmtId="0" fontId="2" fillId="34" borderId="27" xfId="0" applyFont="1" applyFill="1" applyBorder="1" applyAlignment="1" applyProtection="1">
      <alignment horizontal="center" vertical="top"/>
      <protection/>
    </xf>
    <xf numFmtId="0" fontId="2" fillId="34" borderId="0" xfId="0" applyFont="1" applyFill="1" applyBorder="1" applyAlignment="1" applyProtection="1">
      <alignment horizontal="center" vertical="top"/>
      <protection/>
    </xf>
    <xf numFmtId="3" fontId="3" fillId="0" borderId="72" xfId="0" applyNumberFormat="1" applyFont="1" applyFill="1" applyBorder="1" applyAlignment="1" applyProtection="1">
      <alignment horizontal="right" vertical="center"/>
      <protection/>
    </xf>
    <xf numFmtId="3" fontId="3" fillId="0" borderId="36" xfId="0" applyNumberFormat="1" applyFont="1" applyFill="1" applyBorder="1" applyAlignment="1" applyProtection="1">
      <alignment horizontal="right" vertical="center"/>
      <protection/>
    </xf>
    <xf numFmtId="3" fontId="3" fillId="0" borderId="73" xfId="0" applyNumberFormat="1" applyFont="1" applyFill="1" applyBorder="1" applyAlignment="1" applyProtection="1">
      <alignment horizontal="right" vertical="center"/>
      <protection/>
    </xf>
    <xf numFmtId="0" fontId="86" fillId="39" borderId="26" xfId="0" applyFont="1" applyFill="1" applyBorder="1" applyAlignment="1">
      <alignment horizontal="center" vertical="top" wrapText="1"/>
    </xf>
    <xf numFmtId="0" fontId="86" fillId="39" borderId="21" xfId="0" applyFont="1" applyFill="1" applyBorder="1" applyAlignment="1">
      <alignment horizontal="center" vertical="top" wrapText="1"/>
    </xf>
    <xf numFmtId="0" fontId="86" fillId="39" borderId="22" xfId="0" applyFont="1" applyFill="1" applyBorder="1" applyAlignment="1">
      <alignment horizontal="center" vertical="top" wrapText="1"/>
    </xf>
    <xf numFmtId="0" fontId="86" fillId="39" borderId="27" xfId="0" applyFont="1" applyFill="1" applyBorder="1" applyAlignment="1">
      <alignment horizontal="center" vertical="top" wrapText="1"/>
    </xf>
    <xf numFmtId="0" fontId="86" fillId="39" borderId="0" xfId="0" applyFont="1" applyFill="1" applyBorder="1" applyAlignment="1">
      <alignment horizontal="center" vertical="top" wrapText="1"/>
    </xf>
    <xf numFmtId="0" fontId="86" fillId="39" borderId="28" xfId="0" applyFont="1" applyFill="1" applyBorder="1" applyAlignment="1">
      <alignment horizontal="center" vertical="top" wrapText="1"/>
    </xf>
    <xf numFmtId="0" fontId="86" fillId="39" borderId="29" xfId="0" applyFont="1" applyFill="1" applyBorder="1" applyAlignment="1">
      <alignment horizontal="center" vertical="top" wrapText="1"/>
    </xf>
    <xf numFmtId="0" fontId="86" fillId="39" borderId="30" xfId="0" applyFont="1" applyFill="1" applyBorder="1" applyAlignment="1">
      <alignment horizontal="center" vertical="top" wrapText="1"/>
    </xf>
    <xf numFmtId="0" fontId="86" fillId="39" borderId="31" xfId="0" applyFont="1" applyFill="1" applyBorder="1" applyAlignment="1">
      <alignment horizontal="center" vertical="top" wrapText="1"/>
    </xf>
    <xf numFmtId="0" fontId="7" fillId="34" borderId="30" xfId="0" applyFont="1" applyFill="1" applyBorder="1" applyAlignment="1" applyProtection="1">
      <alignment horizontal="center"/>
      <protection/>
    </xf>
    <xf numFmtId="0" fontId="2" fillId="35" borderId="28" xfId="0" applyFont="1" applyFill="1" applyBorder="1" applyAlignment="1" applyProtection="1">
      <alignment horizontal="left" vertical="center" wrapText="1"/>
      <protection/>
    </xf>
    <xf numFmtId="0" fontId="87" fillId="34" borderId="0" xfId="0" applyFont="1" applyFill="1" applyBorder="1" applyAlignment="1" applyProtection="1">
      <alignment horizontal="center"/>
      <protection/>
    </xf>
    <xf numFmtId="0" fontId="16" fillId="0" borderId="29" xfId="0" applyFont="1" applyFill="1" applyBorder="1" applyAlignment="1" applyProtection="1">
      <alignment horizontal="left" vertical="center" wrapText="1"/>
      <protection/>
    </xf>
    <xf numFmtId="0" fontId="16" fillId="0" borderId="30" xfId="0" applyFont="1" applyFill="1" applyBorder="1" applyAlignment="1" applyProtection="1">
      <alignment horizontal="left" vertical="center" wrapText="1"/>
      <protection/>
    </xf>
    <xf numFmtId="0" fontId="16" fillId="0" borderId="31" xfId="0" applyFont="1" applyFill="1" applyBorder="1" applyAlignment="1" applyProtection="1">
      <alignment horizontal="left" vertical="center" wrapText="1"/>
      <protection/>
    </xf>
    <xf numFmtId="3" fontId="8" fillId="35" borderId="27" xfId="0" applyNumberFormat="1" applyFont="1" applyFill="1" applyBorder="1" applyAlignment="1" applyProtection="1">
      <alignment horizontal="right" vertical="center"/>
      <protection hidden="1"/>
    </xf>
    <xf numFmtId="3" fontId="8" fillId="35" borderId="0" xfId="0" applyNumberFormat="1" applyFont="1" applyFill="1" applyBorder="1" applyAlignment="1" applyProtection="1">
      <alignment horizontal="right" vertical="center"/>
      <protection hidden="1"/>
    </xf>
    <xf numFmtId="3" fontId="8" fillId="35" borderId="28" xfId="0" applyNumberFormat="1" applyFont="1" applyFill="1" applyBorder="1" applyAlignment="1" applyProtection="1">
      <alignment horizontal="right" vertical="center"/>
      <protection hidden="1"/>
    </xf>
    <xf numFmtId="0" fontId="4" fillId="0" borderId="33" xfId="0" applyFont="1" applyBorder="1" applyAlignment="1">
      <alignment horizontal="center" vertical="center" textRotation="90" wrapText="1"/>
    </xf>
    <xf numFmtId="0" fontId="4" fillId="0" borderId="32"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34" borderId="0" xfId="0" applyFont="1" applyFill="1" applyBorder="1" applyAlignment="1" applyProtection="1">
      <alignment horizontal="left" vertical="center" wrapText="1"/>
      <protection/>
    </xf>
    <xf numFmtId="3" fontId="8" fillId="35" borderId="27" xfId="0" applyNumberFormat="1" applyFont="1" applyFill="1" applyBorder="1" applyAlignment="1" applyProtection="1">
      <alignment horizontal="right" vertical="center"/>
      <protection/>
    </xf>
    <xf numFmtId="3" fontId="4" fillId="0" borderId="27" xfId="0" applyNumberFormat="1" applyFont="1" applyFill="1" applyBorder="1" applyAlignment="1" applyProtection="1">
      <alignment horizontal="right" vertical="center"/>
      <protection/>
    </xf>
    <xf numFmtId="3" fontId="4" fillId="0" borderId="0" xfId="0" applyNumberFormat="1" applyFont="1" applyFill="1" applyBorder="1" applyAlignment="1" applyProtection="1">
      <alignment horizontal="right" vertical="center"/>
      <protection/>
    </xf>
    <xf numFmtId="3" fontId="4" fillId="0" borderId="28" xfId="0" applyNumberFormat="1" applyFont="1" applyFill="1" applyBorder="1" applyAlignment="1" applyProtection="1">
      <alignment horizontal="right" vertical="center"/>
      <protection/>
    </xf>
    <xf numFmtId="3" fontId="4" fillId="0" borderId="26" xfId="0" applyNumberFormat="1" applyFont="1" applyFill="1" applyBorder="1" applyAlignment="1" applyProtection="1">
      <alignment horizontal="right" vertical="center"/>
      <protection/>
    </xf>
    <xf numFmtId="3" fontId="4" fillId="0" borderId="21" xfId="0" applyNumberFormat="1" applyFont="1" applyFill="1" applyBorder="1" applyAlignment="1" applyProtection="1">
      <alignment horizontal="right" vertical="center"/>
      <protection/>
    </xf>
    <xf numFmtId="3" fontId="4" fillId="0" borderId="22" xfId="0" applyNumberFormat="1" applyFont="1" applyFill="1" applyBorder="1" applyAlignment="1" applyProtection="1">
      <alignment horizontal="right" vertical="center"/>
      <protection/>
    </xf>
    <xf numFmtId="3" fontId="4" fillId="35" borderId="0" xfId="0" applyNumberFormat="1" applyFont="1" applyFill="1" applyBorder="1" applyAlignment="1" applyProtection="1">
      <alignment horizontal="right" vertical="center"/>
      <protection hidden="1"/>
    </xf>
    <xf numFmtId="3" fontId="4" fillId="35" borderId="28" xfId="0" applyNumberFormat="1" applyFont="1" applyFill="1" applyBorder="1" applyAlignment="1" applyProtection="1">
      <alignment horizontal="right" vertical="center"/>
      <protection hidden="1"/>
    </xf>
    <xf numFmtId="3" fontId="8" fillId="34" borderId="28" xfId="0" applyNumberFormat="1" applyFont="1" applyFill="1" applyBorder="1" applyAlignment="1" applyProtection="1">
      <alignment horizontal="right" vertical="center"/>
      <protection locked="0"/>
    </xf>
    <xf numFmtId="3" fontId="4" fillId="34" borderId="27" xfId="0" applyNumberFormat="1" applyFont="1" applyFill="1" applyBorder="1" applyAlignment="1" applyProtection="1">
      <alignment horizontal="right" vertical="center"/>
      <protection locked="0"/>
    </xf>
    <xf numFmtId="0" fontId="5" fillId="0" borderId="0" xfId="0" applyFont="1" applyBorder="1" applyAlignment="1" applyProtection="1">
      <alignment horizontal="left" vertical="center"/>
      <protection locked="0"/>
    </xf>
    <xf numFmtId="3" fontId="8" fillId="35" borderId="26" xfId="0" applyNumberFormat="1" applyFont="1" applyFill="1" applyBorder="1" applyAlignment="1" applyProtection="1">
      <alignment horizontal="right" vertical="center"/>
      <protection hidden="1"/>
    </xf>
    <xf numFmtId="3" fontId="8" fillId="34" borderId="27" xfId="0" applyNumberFormat="1" applyFont="1" applyFill="1" applyBorder="1" applyAlignment="1" applyProtection="1">
      <alignment horizontal="right" vertical="center" wrapText="1"/>
      <protection hidden="1"/>
    </xf>
    <xf numFmtId="3" fontId="8" fillId="34" borderId="0" xfId="0" applyNumberFormat="1" applyFont="1" applyFill="1" applyBorder="1" applyAlignment="1" applyProtection="1">
      <alignment horizontal="right" vertical="center" wrapText="1"/>
      <protection hidden="1"/>
    </xf>
    <xf numFmtId="3" fontId="8" fillId="34" borderId="28" xfId="0" applyNumberFormat="1" applyFont="1" applyFill="1" applyBorder="1" applyAlignment="1" applyProtection="1">
      <alignment horizontal="right" vertical="center" wrapText="1"/>
      <protection hidden="1"/>
    </xf>
    <xf numFmtId="3" fontId="4" fillId="35" borderId="27" xfId="0" applyNumberFormat="1" applyFont="1" applyFill="1" applyBorder="1" applyAlignment="1" applyProtection="1">
      <alignment horizontal="right" vertical="center" wrapText="1"/>
      <protection hidden="1"/>
    </xf>
    <xf numFmtId="3" fontId="4" fillId="35" borderId="0" xfId="0" applyNumberFormat="1" applyFont="1" applyFill="1" applyBorder="1" applyAlignment="1" applyProtection="1">
      <alignment horizontal="right" vertical="center" wrapText="1"/>
      <protection hidden="1"/>
    </xf>
    <xf numFmtId="3" fontId="4" fillId="35" borderId="28" xfId="0" applyNumberFormat="1" applyFont="1" applyFill="1" applyBorder="1" applyAlignment="1" applyProtection="1">
      <alignment horizontal="right" vertical="center" wrapText="1"/>
      <protection hidden="1"/>
    </xf>
    <xf numFmtId="3" fontId="8" fillId="34" borderId="27"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3" fontId="8" fillId="34" borderId="28" xfId="0" applyNumberFormat="1" applyFont="1" applyFill="1" applyBorder="1" applyAlignment="1" applyProtection="1">
      <alignment horizontal="right" vertical="center"/>
      <protection/>
    </xf>
    <xf numFmtId="3" fontId="8" fillId="34" borderId="26" xfId="0" applyNumberFormat="1" applyFont="1" applyFill="1" applyBorder="1" applyAlignment="1" applyProtection="1">
      <alignment horizontal="right" vertical="center"/>
      <protection hidden="1"/>
    </xf>
    <xf numFmtId="3" fontId="8" fillId="34" borderId="21" xfId="0" applyNumberFormat="1" applyFont="1" applyFill="1" applyBorder="1" applyAlignment="1" applyProtection="1">
      <alignment horizontal="right" vertical="center"/>
      <protection hidden="1"/>
    </xf>
    <xf numFmtId="3" fontId="8" fillId="34" borderId="22" xfId="0" applyNumberFormat="1" applyFont="1" applyFill="1" applyBorder="1" applyAlignment="1" applyProtection="1">
      <alignment horizontal="right" vertical="center"/>
      <protection hidden="1"/>
    </xf>
    <xf numFmtId="3" fontId="8" fillId="35" borderId="28" xfId="0" applyNumberFormat="1" applyFont="1" applyFill="1" applyBorder="1" applyAlignment="1" applyProtection="1">
      <alignment horizontal="right" vertical="center"/>
      <protection locked="0"/>
    </xf>
    <xf numFmtId="3" fontId="8" fillId="35" borderId="27" xfId="0" applyNumberFormat="1" applyFont="1" applyFill="1" applyBorder="1" applyAlignment="1" applyProtection="1">
      <alignment horizontal="right" vertical="center"/>
      <protection locked="0"/>
    </xf>
    <xf numFmtId="3" fontId="8" fillId="35" borderId="27" xfId="0" applyNumberFormat="1" applyFont="1" applyFill="1" applyBorder="1" applyAlignment="1" applyProtection="1">
      <alignment horizontal="right" vertical="center" wrapText="1"/>
      <protection hidden="1"/>
    </xf>
    <xf numFmtId="3" fontId="8" fillId="35" borderId="0" xfId="0" applyNumberFormat="1" applyFont="1" applyFill="1" applyBorder="1" applyAlignment="1" applyProtection="1">
      <alignment horizontal="right" vertical="center" wrapText="1"/>
      <protection hidden="1"/>
    </xf>
    <xf numFmtId="3" fontId="8" fillId="35" borderId="28" xfId="0" applyNumberFormat="1" applyFont="1" applyFill="1" applyBorder="1" applyAlignment="1" applyProtection="1">
      <alignment horizontal="right" vertical="center" wrapText="1"/>
      <protection hidden="1"/>
    </xf>
    <xf numFmtId="3" fontId="4" fillId="35" borderId="30" xfId="0" applyNumberFormat="1" applyFont="1" applyFill="1" applyBorder="1" applyAlignment="1" applyProtection="1">
      <alignment horizontal="right" vertical="center"/>
      <protection/>
    </xf>
    <xf numFmtId="3" fontId="4" fillId="35" borderId="31" xfId="0" applyNumberFormat="1" applyFont="1" applyFill="1" applyBorder="1" applyAlignment="1" applyProtection="1">
      <alignment horizontal="right" vertical="center"/>
      <protection/>
    </xf>
    <xf numFmtId="0" fontId="2" fillId="35" borderId="102" xfId="0" applyFont="1" applyFill="1" applyBorder="1" applyAlignment="1" applyProtection="1">
      <alignment horizontal="center"/>
      <protection/>
    </xf>
    <xf numFmtId="0" fontId="2" fillId="35" borderId="83" xfId="0" applyFont="1" applyFill="1" applyBorder="1" applyAlignment="1" applyProtection="1">
      <alignment horizontal="center"/>
      <protection/>
    </xf>
    <xf numFmtId="0" fontId="18" fillId="0" borderId="32" xfId="0" applyFont="1" applyFill="1" applyBorder="1" applyAlignment="1" applyProtection="1">
      <alignment horizontal="center" vertical="center" textRotation="90" wrapText="1"/>
      <protection/>
    </xf>
    <xf numFmtId="0" fontId="18" fillId="0" borderId="23" xfId="0" applyFont="1" applyFill="1" applyBorder="1" applyAlignment="1" applyProtection="1">
      <alignment horizontal="center" vertical="center" textRotation="90" wrapText="1"/>
      <protection/>
    </xf>
    <xf numFmtId="0" fontId="13" fillId="35" borderId="26" xfId="0" applyFont="1" applyFill="1" applyBorder="1" applyAlignment="1" applyProtection="1">
      <alignment horizontal="left" vertical="top"/>
      <protection/>
    </xf>
    <xf numFmtId="0" fontId="13" fillId="35" borderId="21" xfId="0" applyFont="1" applyFill="1" applyBorder="1" applyAlignment="1" applyProtection="1">
      <alignment horizontal="left" vertical="top"/>
      <protection/>
    </xf>
    <xf numFmtId="0" fontId="2" fillId="34" borderId="102" xfId="0" applyFont="1" applyFill="1" applyBorder="1" applyAlignment="1" applyProtection="1">
      <alignment horizontal="left"/>
      <protection/>
    </xf>
    <xf numFmtId="0" fontId="2" fillId="34" borderId="83" xfId="0" applyFont="1" applyFill="1" applyBorder="1" applyAlignment="1" applyProtection="1">
      <alignment horizontal="left"/>
      <protection/>
    </xf>
    <xf numFmtId="0" fontId="2" fillId="34" borderId="85" xfId="0" applyFont="1" applyFill="1" applyBorder="1" applyAlignment="1" applyProtection="1">
      <alignment horizontal="left"/>
      <protection/>
    </xf>
    <xf numFmtId="0" fontId="2" fillId="35" borderId="26" xfId="0" applyFont="1" applyFill="1" applyBorder="1" applyAlignment="1" applyProtection="1">
      <alignment horizontal="left" vertical="top" wrapText="1"/>
      <protection/>
    </xf>
    <xf numFmtId="0" fontId="2" fillId="35" borderId="22" xfId="0" applyFont="1" applyFill="1" applyBorder="1" applyAlignment="1" applyProtection="1">
      <alignment horizontal="left" vertical="top" wrapText="1"/>
      <protection/>
    </xf>
    <xf numFmtId="3" fontId="2" fillId="34" borderId="26" xfId="0" applyNumberFormat="1" applyFont="1" applyFill="1" applyBorder="1" applyAlignment="1" applyProtection="1">
      <alignment horizontal="center" wrapText="1"/>
      <protection locked="0"/>
    </xf>
    <xf numFmtId="3" fontId="2" fillId="34" borderId="21" xfId="0" applyNumberFormat="1" applyFont="1" applyFill="1" applyBorder="1" applyAlignment="1" applyProtection="1">
      <alignment horizontal="center" wrapText="1"/>
      <protection locked="0"/>
    </xf>
    <xf numFmtId="3" fontId="2" fillId="34" borderId="22" xfId="0" applyNumberFormat="1" applyFont="1" applyFill="1" applyBorder="1" applyAlignment="1" applyProtection="1">
      <alignment horizontal="center" wrapText="1"/>
      <protection locked="0"/>
    </xf>
    <xf numFmtId="3" fontId="2" fillId="0" borderId="26" xfId="0" applyNumberFormat="1" applyFont="1" applyFill="1" applyBorder="1" applyAlignment="1" applyProtection="1">
      <alignment horizontal="center" wrapText="1"/>
      <protection locked="0"/>
    </xf>
    <xf numFmtId="3" fontId="2" fillId="0" borderId="21" xfId="0" applyNumberFormat="1" applyFont="1" applyFill="1" applyBorder="1" applyAlignment="1" applyProtection="1">
      <alignment horizontal="center" wrapText="1"/>
      <protection locked="0"/>
    </xf>
    <xf numFmtId="3" fontId="4" fillId="34" borderId="29" xfId="0" applyNumberFormat="1" applyFont="1" applyFill="1" applyBorder="1" applyAlignment="1" applyProtection="1">
      <alignment horizontal="center" vertical="center"/>
      <protection locked="0"/>
    </xf>
    <xf numFmtId="3" fontId="4" fillId="34" borderId="30" xfId="0" applyNumberFormat="1" applyFont="1" applyFill="1" applyBorder="1" applyAlignment="1" applyProtection="1">
      <alignment horizontal="center" vertical="center"/>
      <protection locked="0"/>
    </xf>
    <xf numFmtId="3" fontId="4" fillId="34" borderId="31" xfId="0" applyNumberFormat="1" applyFont="1" applyFill="1" applyBorder="1" applyAlignment="1" applyProtection="1">
      <alignment horizontal="center" vertical="center"/>
      <protection locked="0"/>
    </xf>
    <xf numFmtId="3" fontId="2" fillId="0" borderId="27" xfId="0" applyNumberFormat="1" applyFont="1" applyFill="1" applyBorder="1" applyAlignment="1" applyProtection="1">
      <alignment horizontal="center" wrapText="1"/>
      <protection locked="0"/>
    </xf>
    <xf numFmtId="3" fontId="2" fillId="0" borderId="0" xfId="0" applyNumberFormat="1" applyFont="1" applyFill="1" applyBorder="1" applyAlignment="1" applyProtection="1">
      <alignment horizontal="center" wrapText="1"/>
      <protection locked="0"/>
    </xf>
    <xf numFmtId="0" fontId="2" fillId="34" borderId="27" xfId="0" applyFont="1" applyFill="1" applyBorder="1" applyAlignment="1" applyProtection="1">
      <alignment horizontal="center" wrapText="1"/>
      <protection/>
    </xf>
    <xf numFmtId="0" fontId="2" fillId="34" borderId="0" xfId="0" applyFont="1" applyFill="1" applyBorder="1" applyAlignment="1" applyProtection="1">
      <alignment horizontal="center" wrapText="1"/>
      <protection/>
    </xf>
    <xf numFmtId="0" fontId="4" fillId="0" borderId="33" xfId="0" applyFont="1" applyBorder="1" applyAlignment="1">
      <alignment horizontal="center" vertical="center" textRotation="90"/>
    </xf>
    <xf numFmtId="0" fontId="4" fillId="0" borderId="32" xfId="0" applyFont="1" applyBorder="1" applyAlignment="1">
      <alignment horizontal="center" vertical="center" textRotation="90"/>
    </xf>
    <xf numFmtId="0" fontId="4" fillId="0" borderId="23" xfId="0" applyFont="1" applyBorder="1" applyAlignment="1">
      <alignment horizontal="center" vertical="center" textRotation="90"/>
    </xf>
    <xf numFmtId="0" fontId="15" fillId="34" borderId="33" xfId="0" applyFont="1" applyFill="1" applyBorder="1" applyAlignment="1" applyProtection="1">
      <alignment horizontal="center" vertical="center" textRotation="90"/>
      <protection hidden="1"/>
    </xf>
    <xf numFmtId="0" fontId="15" fillId="34" borderId="32" xfId="0" applyFont="1" applyFill="1" applyBorder="1" applyAlignment="1" applyProtection="1">
      <alignment horizontal="center" vertical="center" textRotation="90"/>
      <protection hidden="1"/>
    </xf>
    <xf numFmtId="0" fontId="15" fillId="34" borderId="23" xfId="0" applyFont="1" applyFill="1" applyBorder="1" applyAlignment="1" applyProtection="1">
      <alignment horizontal="center" vertical="center" textRotation="90"/>
      <protection hidden="1"/>
    </xf>
    <xf numFmtId="0" fontId="6" fillId="34" borderId="33" xfId="0" applyFont="1" applyFill="1" applyBorder="1" applyAlignment="1" applyProtection="1">
      <alignment horizontal="center" vertical="center" textRotation="90" wrapText="1"/>
      <protection/>
    </xf>
    <xf numFmtId="0" fontId="6" fillId="34" borderId="32" xfId="0" applyFont="1" applyFill="1" applyBorder="1" applyAlignment="1" applyProtection="1">
      <alignment horizontal="center" vertical="center" textRotation="90" wrapText="1"/>
      <protection/>
    </xf>
    <xf numFmtId="0" fontId="6" fillId="34" borderId="23" xfId="0" applyFont="1" applyFill="1" applyBorder="1" applyAlignment="1" applyProtection="1">
      <alignment horizontal="center" vertical="center" textRotation="90" wrapText="1"/>
      <protection/>
    </xf>
    <xf numFmtId="3" fontId="8" fillId="34" borderId="27" xfId="0" applyNumberFormat="1" applyFont="1" applyFill="1" applyBorder="1" applyAlignment="1" applyProtection="1">
      <alignment horizontal="right" vertical="center"/>
      <protection hidden="1"/>
    </xf>
    <xf numFmtId="0" fontId="16" fillId="0" borderId="26" xfId="0" applyFont="1" applyFill="1" applyBorder="1" applyAlignment="1" applyProtection="1">
      <alignment horizontal="left" vertical="center" wrapText="1"/>
      <protection/>
    </xf>
    <xf numFmtId="0" fontId="16" fillId="0" borderId="21" xfId="0" applyFont="1" applyFill="1" applyBorder="1" applyAlignment="1" applyProtection="1">
      <alignment horizontal="left" vertical="center" wrapText="1"/>
      <protection/>
    </xf>
    <xf numFmtId="0" fontId="16" fillId="0" borderId="22" xfId="0" applyFont="1" applyFill="1" applyBorder="1" applyAlignment="1" applyProtection="1">
      <alignment horizontal="left" vertical="center" wrapText="1"/>
      <protection/>
    </xf>
    <xf numFmtId="3" fontId="4" fillId="0" borderId="30" xfId="0" applyNumberFormat="1" applyFont="1" applyFill="1" applyBorder="1" applyAlignment="1" applyProtection="1">
      <alignment horizontal="right" vertical="center"/>
      <protection locked="0"/>
    </xf>
    <xf numFmtId="3" fontId="4" fillId="0" borderId="31" xfId="0" applyNumberFormat="1" applyFont="1" applyFill="1" applyBorder="1" applyAlignment="1" applyProtection="1">
      <alignment horizontal="right" vertical="center"/>
      <protection locked="0"/>
    </xf>
    <xf numFmtId="0" fontId="3" fillId="34" borderId="33" xfId="0" applyFont="1" applyFill="1" applyBorder="1" applyAlignment="1">
      <alignment horizontal="center" vertical="center" textRotation="90"/>
    </xf>
    <xf numFmtId="0" fontId="3" fillId="34" borderId="32" xfId="0" applyFont="1" applyFill="1" applyBorder="1" applyAlignment="1">
      <alignment horizontal="center" vertical="center" textRotation="90"/>
    </xf>
    <xf numFmtId="0" fontId="3" fillId="34" borderId="23" xfId="0" applyFont="1" applyFill="1" applyBorder="1" applyAlignment="1">
      <alignment horizontal="center" vertical="center" textRotation="90"/>
    </xf>
    <xf numFmtId="0" fontId="18" fillId="0" borderId="26" xfId="0" applyFont="1" applyFill="1" applyBorder="1" applyAlignment="1" applyProtection="1">
      <alignment horizontal="center" vertical="center" textRotation="90" wrapText="1"/>
      <protection/>
    </xf>
    <xf numFmtId="0" fontId="18" fillId="0" borderId="22" xfId="0" applyFont="1" applyFill="1" applyBorder="1" applyAlignment="1" applyProtection="1">
      <alignment horizontal="center" vertical="center" textRotation="90" wrapText="1"/>
      <protection/>
    </xf>
    <xf numFmtId="0" fontId="18" fillId="0" borderId="27" xfId="0" applyFont="1" applyFill="1" applyBorder="1" applyAlignment="1" applyProtection="1">
      <alignment horizontal="center" vertical="center" textRotation="90" wrapText="1"/>
      <protection/>
    </xf>
    <xf numFmtId="0" fontId="18" fillId="0" borderId="28" xfId="0" applyFont="1" applyFill="1" applyBorder="1" applyAlignment="1" applyProtection="1">
      <alignment horizontal="center" vertical="center" textRotation="90" wrapText="1"/>
      <protection/>
    </xf>
    <xf numFmtId="0" fontId="18" fillId="0" borderId="29" xfId="0" applyFont="1" applyFill="1" applyBorder="1" applyAlignment="1" applyProtection="1">
      <alignment horizontal="center" vertical="center" textRotation="90" wrapText="1"/>
      <protection/>
    </xf>
    <xf numFmtId="0" fontId="18" fillId="0" borderId="31" xfId="0" applyFont="1" applyFill="1" applyBorder="1" applyAlignment="1" applyProtection="1">
      <alignment horizontal="center" vertical="center" textRotation="90" wrapText="1"/>
      <protection/>
    </xf>
    <xf numFmtId="0" fontId="3" fillId="34" borderId="33" xfId="0" applyFont="1" applyFill="1" applyBorder="1" applyAlignment="1">
      <alignment horizontal="center" vertical="center" textRotation="90" wrapText="1"/>
    </xf>
    <xf numFmtId="0" fontId="3" fillId="34" borderId="32" xfId="0" applyFont="1" applyFill="1" applyBorder="1" applyAlignment="1">
      <alignment horizontal="center" vertical="center" textRotation="90" wrapText="1"/>
    </xf>
    <xf numFmtId="0" fontId="3" fillId="34" borderId="23" xfId="0" applyFont="1" applyFill="1" applyBorder="1" applyAlignment="1">
      <alignment horizontal="center" vertical="center" textRotation="90" wrapText="1"/>
    </xf>
    <xf numFmtId="177" fontId="0" fillId="0" borderId="58" xfId="0" applyNumberFormat="1" applyFont="1" applyBorder="1" applyAlignment="1">
      <alignment horizontal="center"/>
    </xf>
    <xf numFmtId="177" fontId="0" fillId="0" borderId="70" xfId="0" applyNumberFormat="1" applyFont="1" applyBorder="1" applyAlignment="1">
      <alignment horizontal="center"/>
    </xf>
    <xf numFmtId="177" fontId="19" fillId="0" borderId="0" xfId="0" applyNumberFormat="1" applyFont="1" applyBorder="1" applyAlignment="1">
      <alignment horizontal="center"/>
    </xf>
    <xf numFmtId="177" fontId="0" fillId="0" borderId="0" xfId="0" applyNumberFormat="1" applyFont="1" applyBorder="1" applyAlignment="1">
      <alignment horizontal="center"/>
    </xf>
    <xf numFmtId="177" fontId="0" fillId="0" borderId="0" xfId="0" applyNumberFormat="1" applyFont="1" applyBorder="1" applyAlignment="1">
      <alignment horizontal="left"/>
    </xf>
    <xf numFmtId="177" fontId="0" fillId="0" borderId="53" xfId="0" applyNumberFormat="1" applyFont="1" applyBorder="1" applyAlignment="1">
      <alignment horizontal="center"/>
    </xf>
    <xf numFmtId="177" fontId="0" fillId="0" borderId="60" xfId="0" applyNumberFormat="1" applyFont="1" applyBorder="1" applyAlignment="1">
      <alignment horizontal="center"/>
    </xf>
    <xf numFmtId="177" fontId="0" fillId="0" borderId="53" xfId="0" applyNumberFormat="1" applyFont="1" applyBorder="1" applyAlignment="1">
      <alignment horizontal="center" wrapText="1"/>
    </xf>
    <xf numFmtId="177" fontId="0" fillId="0" borderId="60" xfId="0" applyNumberFormat="1" applyFont="1" applyBorder="1" applyAlignment="1">
      <alignment horizontal="center" wrapText="1"/>
    </xf>
    <xf numFmtId="177" fontId="3" fillId="0" borderId="0" xfId="0" applyNumberFormat="1" applyFont="1" applyBorder="1" applyAlignment="1">
      <alignment horizontal="center"/>
    </xf>
    <xf numFmtId="177" fontId="19" fillId="0" borderId="53" xfId="0" applyNumberFormat="1" applyFont="1" applyBorder="1" applyAlignment="1">
      <alignment horizontal="center" wrapText="1"/>
    </xf>
    <xf numFmtId="177" fontId="19" fillId="0" borderId="60" xfId="0" applyNumberFormat="1" applyFont="1" applyBorder="1" applyAlignment="1">
      <alignment horizontal="center" wrapText="1"/>
    </xf>
    <xf numFmtId="177" fontId="3" fillId="0" borderId="53" xfId="0" applyNumberFormat="1" applyFont="1" applyBorder="1" applyAlignment="1">
      <alignment horizontal="center"/>
    </xf>
    <xf numFmtId="177" fontId="3" fillId="0" borderId="60" xfId="0" applyNumberFormat="1" applyFont="1" applyBorder="1" applyAlignment="1">
      <alignment horizontal="center"/>
    </xf>
    <xf numFmtId="0" fontId="3" fillId="0" borderId="46" xfId="0" applyFont="1" applyBorder="1" applyAlignment="1">
      <alignment horizontal="center"/>
    </xf>
    <xf numFmtId="0" fontId="3" fillId="0" borderId="16" xfId="0" applyFont="1" applyBorder="1" applyAlignment="1">
      <alignment horizontal="center"/>
    </xf>
    <xf numFmtId="0" fontId="77" fillId="0" borderId="0" xfId="0" applyFont="1" applyBorder="1" applyAlignment="1">
      <alignment horizontal="center"/>
    </xf>
    <xf numFmtId="0" fontId="77" fillId="0" borderId="17" xfId="0" applyFont="1" applyBorder="1" applyAlignment="1">
      <alignment horizontal="center"/>
    </xf>
    <xf numFmtId="177" fontId="0" fillId="0" borderId="37" xfId="0" applyNumberFormat="1" applyFont="1" applyBorder="1" applyAlignment="1">
      <alignment horizontal="center"/>
    </xf>
    <xf numFmtId="177" fontId="0" fillId="0" borderId="10" xfId="0" applyNumberFormat="1" applyFont="1" applyBorder="1" applyAlignment="1">
      <alignment horizontal="center"/>
    </xf>
    <xf numFmtId="0" fontId="3" fillId="0" borderId="0" xfId="0" applyFont="1" applyFill="1" applyBorder="1" applyAlignment="1">
      <alignment horizontal="center"/>
    </xf>
    <xf numFmtId="0" fontId="3" fillId="0" borderId="17"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0" borderId="19"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3" fillId="2" borderId="42" xfId="0" applyFont="1" applyFill="1" applyBorder="1" applyAlignment="1">
      <alignment horizontal="center"/>
    </xf>
    <xf numFmtId="0" fontId="3" fillId="2" borderId="18" xfId="0" applyFont="1" applyFill="1" applyBorder="1" applyAlignment="1">
      <alignment horizontal="center"/>
    </xf>
    <xf numFmtId="0" fontId="3" fillId="2" borderId="43" xfId="0" applyFont="1" applyFill="1" applyBorder="1" applyAlignment="1">
      <alignment horizontal="center"/>
    </xf>
    <xf numFmtId="0" fontId="3" fillId="0" borderId="45" xfId="0" applyFont="1" applyBorder="1" applyAlignment="1">
      <alignment horizontal="center"/>
    </xf>
    <xf numFmtId="0" fontId="0" fillId="2" borderId="12" xfId="0" applyFont="1" applyFill="1" applyBorder="1" applyAlignment="1">
      <alignment horizontal="center"/>
    </xf>
    <xf numFmtId="0" fontId="0" fillId="2" borderId="13" xfId="0" applyFont="1" applyFill="1" applyBorder="1" applyAlignment="1">
      <alignment horizontal="center"/>
    </xf>
    <xf numFmtId="0" fontId="0" fillId="2" borderId="15" xfId="0" applyFont="1" applyFill="1" applyBorder="1" applyAlignment="1">
      <alignment horizontal="center"/>
    </xf>
    <xf numFmtId="10" fontId="3" fillId="2" borderId="12" xfId="0" applyNumberFormat="1"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14" fontId="3" fillId="2" borderId="42" xfId="0" applyNumberFormat="1" applyFont="1" applyFill="1" applyBorder="1" applyAlignment="1">
      <alignment horizontal="center" vertical="center" wrapText="1"/>
    </xf>
    <xf numFmtId="14" fontId="3" fillId="2" borderId="18" xfId="0" applyNumberFormat="1" applyFont="1" applyFill="1" applyBorder="1" applyAlignment="1">
      <alignment horizontal="center" vertical="center" wrapText="1"/>
    </xf>
    <xf numFmtId="0" fontId="79" fillId="0" borderId="0" xfId="0" applyFont="1" applyAlignment="1">
      <alignment horizontal="center"/>
    </xf>
    <xf numFmtId="3" fontId="3" fillId="0" borderId="12" xfId="0" applyNumberFormat="1" applyFont="1" applyBorder="1" applyAlignment="1">
      <alignment horizontal="right"/>
    </xf>
    <xf numFmtId="0" fontId="3" fillId="0" borderId="15" xfId="0" applyFont="1" applyBorder="1" applyAlignment="1">
      <alignment horizontal="right"/>
    </xf>
    <xf numFmtId="14" fontId="3" fillId="2" borderId="15" xfId="0" applyNumberFormat="1" applyFont="1" applyFill="1" applyBorder="1" applyAlignment="1">
      <alignment horizontal="center" vertical="center" wrapText="1"/>
    </xf>
    <xf numFmtId="0" fontId="0" fillId="0" borderId="0" xfId="0" applyFont="1" applyAlignment="1">
      <alignment horizontal="center"/>
    </xf>
    <xf numFmtId="0" fontId="3" fillId="2" borderId="45" xfId="0" applyFont="1" applyFill="1" applyBorder="1" applyAlignment="1">
      <alignment horizontal="center"/>
    </xf>
    <xf numFmtId="0" fontId="3" fillId="2" borderId="46" xfId="0" applyFont="1" applyFill="1" applyBorder="1" applyAlignment="1">
      <alignment horizontal="center"/>
    </xf>
    <xf numFmtId="0" fontId="3" fillId="2" borderId="16" xfId="0" applyFont="1" applyFill="1" applyBorder="1" applyAlignment="1">
      <alignment horizontal="center"/>
    </xf>
    <xf numFmtId="3" fontId="0" fillId="2" borderId="19" xfId="0" applyNumberFormat="1" applyFont="1" applyFill="1" applyBorder="1" applyAlignment="1">
      <alignment horizontal="center"/>
    </xf>
    <xf numFmtId="3" fontId="0" fillId="2" borderId="17" xfId="0" applyNumberFormat="1" applyFont="1" applyFill="1" applyBorder="1" applyAlignment="1">
      <alignment horizontal="center"/>
    </xf>
    <xf numFmtId="3" fontId="0" fillId="2" borderId="11" xfId="0" applyNumberFormat="1" applyFont="1" applyFill="1" applyBorder="1" applyAlignment="1">
      <alignment horizontal="center"/>
    </xf>
    <xf numFmtId="3" fontId="0" fillId="2" borderId="10" xfId="0" applyNumberFormat="1" applyFont="1" applyFill="1" applyBorder="1" applyAlignment="1">
      <alignment horizontal="center"/>
    </xf>
    <xf numFmtId="0" fontId="3" fillId="0" borderId="42" xfId="0" applyFont="1" applyBorder="1" applyAlignment="1">
      <alignment horizontal="left"/>
    </xf>
    <xf numFmtId="0" fontId="3" fillId="0" borderId="43" xfId="0" applyFont="1" applyBorder="1" applyAlignment="1">
      <alignment horizontal="left"/>
    </xf>
    <xf numFmtId="0" fontId="3" fillId="0" borderId="46" xfId="0" applyFont="1" applyBorder="1" applyAlignment="1">
      <alignment horizontal="left"/>
    </xf>
    <xf numFmtId="0" fontId="3" fillId="0" borderId="16" xfId="0" applyFont="1" applyBorder="1" applyAlignment="1">
      <alignment horizontal="left"/>
    </xf>
    <xf numFmtId="0" fontId="3" fillId="0" borderId="18" xfId="0" applyFont="1" applyBorder="1" applyAlignment="1">
      <alignment horizontal="left"/>
    </xf>
    <xf numFmtId="0" fontId="3" fillId="2" borderId="19" xfId="0" applyFont="1" applyFill="1" applyBorder="1" applyAlignment="1">
      <alignment horizontal="center"/>
    </xf>
    <xf numFmtId="0" fontId="3" fillId="2" borderId="0" xfId="0" applyFont="1" applyFill="1" applyBorder="1" applyAlignment="1">
      <alignment horizontal="center"/>
    </xf>
    <xf numFmtId="0" fontId="3" fillId="2" borderId="17" xfId="0" applyFont="1" applyFill="1" applyBorder="1" applyAlignment="1">
      <alignment horizontal="center"/>
    </xf>
    <xf numFmtId="0" fontId="3" fillId="2" borderId="103" xfId="0" applyFont="1" applyFill="1" applyBorder="1" applyAlignment="1">
      <alignment horizontal="center"/>
    </xf>
    <xf numFmtId="0" fontId="3" fillId="2" borderId="50" xfId="0" applyFont="1" applyFill="1" applyBorder="1" applyAlignment="1">
      <alignment horizontal="center"/>
    </xf>
    <xf numFmtId="0" fontId="3" fillId="2" borderId="70" xfId="0" applyFont="1" applyFill="1" applyBorder="1" applyAlignment="1">
      <alignment horizontal="center"/>
    </xf>
    <xf numFmtId="3" fontId="0" fillId="2" borderId="45" xfId="0" applyNumberFormat="1" applyFont="1" applyFill="1" applyBorder="1" applyAlignment="1">
      <alignment horizontal="center"/>
    </xf>
    <xf numFmtId="3" fontId="0" fillId="2" borderId="16" xfId="0" applyNumberFormat="1" applyFont="1" applyFill="1" applyBorder="1" applyAlignment="1">
      <alignment horizontal="center"/>
    </xf>
    <xf numFmtId="3" fontId="0" fillId="2" borderId="103" xfId="0" applyNumberFormat="1" applyFont="1" applyFill="1" applyBorder="1" applyAlignment="1">
      <alignment horizontal="center"/>
    </xf>
    <xf numFmtId="3" fontId="0" fillId="2" borderId="70" xfId="0" applyNumberFormat="1" applyFont="1" applyFill="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18" xfId="0" applyFont="1" applyBorder="1" applyAlignment="1">
      <alignment horizontal="center"/>
    </xf>
    <xf numFmtId="3" fontId="0" fillId="0" borderId="42" xfId="0" applyNumberFormat="1" applyFont="1" applyBorder="1" applyAlignment="1">
      <alignment horizontal="center"/>
    </xf>
    <xf numFmtId="3" fontId="0" fillId="0" borderId="43" xfId="0" applyNumberFormat="1" applyFont="1" applyBorder="1" applyAlignment="1">
      <alignment horizontal="center"/>
    </xf>
    <xf numFmtId="3" fontId="0" fillId="0" borderId="18" xfId="0" applyNumberFormat="1" applyFont="1" applyBorder="1" applyAlignment="1">
      <alignment horizontal="center"/>
    </xf>
    <xf numFmtId="0" fontId="3" fillId="2" borderId="11" xfId="0" applyFont="1" applyFill="1" applyBorder="1" applyAlignment="1">
      <alignment horizontal="center"/>
    </xf>
    <xf numFmtId="0" fontId="3" fillId="2" borderId="37" xfId="0" applyFont="1" applyFill="1" applyBorder="1" applyAlignment="1">
      <alignment horizontal="center"/>
    </xf>
    <xf numFmtId="0" fontId="3" fillId="2" borderId="10" xfId="0" applyFont="1" applyFill="1" applyBorder="1" applyAlignment="1">
      <alignment horizontal="center"/>
    </xf>
    <xf numFmtId="3" fontId="0" fillId="2" borderId="39" xfId="0" applyNumberFormat="1" applyFont="1" applyFill="1" applyBorder="1" applyAlignment="1">
      <alignment horizontal="center"/>
    </xf>
    <xf numFmtId="3" fontId="0" fillId="2" borderId="44" xfId="0" applyNumberFormat="1" applyFont="1" applyFill="1" applyBorder="1" applyAlignment="1">
      <alignment horizontal="center"/>
    </xf>
    <xf numFmtId="3" fontId="0" fillId="2" borderId="41" xfId="0" applyNumberFormat="1" applyFont="1" applyFill="1" applyBorder="1" applyAlignment="1">
      <alignment horizontal="center"/>
    </xf>
    <xf numFmtId="3" fontId="0" fillId="2" borderId="52" xfId="0" applyNumberFormat="1" applyFont="1" applyFill="1" applyBorder="1" applyAlignment="1">
      <alignment horizontal="center"/>
    </xf>
    <xf numFmtId="3" fontId="0" fillId="2" borderId="0" xfId="0" applyNumberFormat="1" applyFont="1" applyFill="1" applyBorder="1" applyAlignment="1">
      <alignment horizontal="center"/>
    </xf>
    <xf numFmtId="3" fontId="0" fillId="2" borderId="55" xfId="0" applyNumberFormat="1" applyFont="1" applyFill="1" applyBorder="1" applyAlignment="1">
      <alignment horizontal="center"/>
    </xf>
    <xf numFmtId="3" fontId="0" fillId="2" borderId="58" xfId="0" applyNumberFormat="1" applyFont="1" applyFill="1" applyBorder="1" applyAlignment="1">
      <alignment horizontal="center"/>
    </xf>
    <xf numFmtId="3" fontId="0" fillId="2" borderId="50" xfId="0" applyNumberFormat="1" applyFont="1" applyFill="1" applyBorder="1" applyAlignment="1">
      <alignment horizontal="center"/>
    </xf>
    <xf numFmtId="3" fontId="0" fillId="2" borderId="56" xfId="0" applyNumberFormat="1" applyFont="1" applyFill="1" applyBorder="1" applyAlignment="1">
      <alignment horizontal="center"/>
    </xf>
    <xf numFmtId="3" fontId="0" fillId="0" borderId="57" xfId="0" applyNumberFormat="1" applyFont="1" applyBorder="1" applyAlignment="1">
      <alignment horizontal="center"/>
    </xf>
    <xf numFmtId="3" fontId="0" fillId="0" borderId="104" xfId="0" applyNumberFormat="1" applyFont="1" applyBorder="1" applyAlignment="1">
      <alignment horizontal="center"/>
    </xf>
    <xf numFmtId="3" fontId="0" fillId="0" borderId="48" xfId="0" applyNumberFormat="1" applyFont="1" applyBorder="1" applyAlignment="1">
      <alignment horizontal="center"/>
    </xf>
    <xf numFmtId="3" fontId="0" fillId="2" borderId="46" xfId="0" applyNumberFormat="1" applyFont="1" applyFill="1" applyBorder="1" applyAlignment="1">
      <alignment horizontal="center"/>
    </xf>
    <xf numFmtId="3" fontId="0" fillId="2" borderId="37" xfId="0" applyNumberFormat="1" applyFont="1" applyFill="1" applyBorder="1" applyAlignment="1">
      <alignment horizontal="center"/>
    </xf>
    <xf numFmtId="0" fontId="3" fillId="2" borderId="42" xfId="0" applyFont="1" applyFill="1" applyBorder="1" applyAlignment="1">
      <alignment horizontal="left"/>
    </xf>
    <xf numFmtId="0" fontId="3" fillId="2" borderId="43" xfId="0" applyFont="1" applyFill="1" applyBorder="1" applyAlignment="1">
      <alignment horizontal="left"/>
    </xf>
    <xf numFmtId="0" fontId="3" fillId="2" borderId="18" xfId="0" applyFont="1" applyFill="1" applyBorder="1" applyAlignment="1">
      <alignment horizontal="left"/>
    </xf>
    <xf numFmtId="3" fontId="0" fillId="2" borderId="12" xfId="0" applyNumberFormat="1" applyFont="1" applyFill="1" applyBorder="1" applyAlignment="1">
      <alignment horizontal="center"/>
    </xf>
    <xf numFmtId="3" fontId="0" fillId="2" borderId="13" xfId="0" applyNumberFormat="1" applyFont="1" applyFill="1" applyBorder="1" applyAlignment="1">
      <alignment horizontal="center"/>
    </xf>
    <xf numFmtId="0" fontId="3" fillId="0" borderId="52" xfId="0" applyFont="1" applyFill="1" applyBorder="1" applyAlignment="1">
      <alignment horizontal="center"/>
    </xf>
    <xf numFmtId="0" fontId="3" fillId="0" borderId="55" xfId="0" applyFont="1" applyFill="1" applyBorder="1" applyAlignment="1">
      <alignment horizontal="center"/>
    </xf>
    <xf numFmtId="0" fontId="3" fillId="0" borderId="45" xfId="0" applyFont="1" applyBorder="1" applyAlignment="1">
      <alignment horizontal="left"/>
    </xf>
    <xf numFmtId="3" fontId="0" fillId="2" borderId="105" xfId="0" applyNumberFormat="1" applyFont="1" applyFill="1" applyBorder="1" applyAlignment="1">
      <alignment horizontal="center"/>
    </xf>
    <xf numFmtId="3" fontId="0" fillId="2" borderId="106" xfId="0" applyNumberFormat="1" applyFont="1" applyFill="1" applyBorder="1" applyAlignment="1">
      <alignment horizontal="center"/>
    </xf>
    <xf numFmtId="3" fontId="0" fillId="0" borderId="53" xfId="0" applyNumberFormat="1" applyFont="1" applyBorder="1" applyAlignment="1">
      <alignment horizontal="center"/>
    </xf>
    <xf numFmtId="3" fontId="0" fillId="0" borderId="51" xfId="0" applyNumberFormat="1" applyFont="1" applyBorder="1" applyAlignment="1">
      <alignment horizontal="center"/>
    </xf>
    <xf numFmtId="3" fontId="0" fillId="0" borderId="107" xfId="0" applyNumberFormat="1" applyFont="1" applyBorder="1" applyAlignment="1">
      <alignment horizontal="center"/>
    </xf>
    <xf numFmtId="177" fontId="0" fillId="0" borderId="53" xfId="0" applyNumberFormat="1" applyFont="1" applyBorder="1" applyAlignment="1">
      <alignment horizontal="left"/>
    </xf>
    <xf numFmtId="177" fontId="0" fillId="0" borderId="51" xfId="0" applyNumberFormat="1" applyFont="1" applyBorder="1" applyAlignment="1">
      <alignment horizontal="left"/>
    </xf>
    <xf numFmtId="177" fontId="0" fillId="0" borderId="107" xfId="0" applyNumberFormat="1" applyFont="1" applyBorder="1" applyAlignment="1">
      <alignment horizontal="left"/>
    </xf>
    <xf numFmtId="3" fontId="3" fillId="0" borderId="45" xfId="0" applyNumberFormat="1" applyFont="1" applyBorder="1" applyAlignment="1">
      <alignment horizontal="center"/>
    </xf>
    <xf numFmtId="3" fontId="3" fillId="0" borderId="46" xfId="0" applyNumberFormat="1" applyFont="1" applyBorder="1" applyAlignment="1">
      <alignment horizontal="center"/>
    </xf>
    <xf numFmtId="3" fontId="3" fillId="0" borderId="16" xfId="0" applyNumberFormat="1" applyFont="1" applyBorder="1" applyAlignment="1">
      <alignment horizontal="center"/>
    </xf>
    <xf numFmtId="9" fontId="3" fillId="2" borderId="12" xfId="54" applyFont="1" applyFill="1" applyBorder="1" applyAlignment="1">
      <alignment horizontal="center" vertical="center" wrapText="1"/>
    </xf>
    <xf numFmtId="9" fontId="3" fillId="2" borderId="15" xfId="54" applyFont="1" applyFill="1" applyBorder="1" applyAlignment="1">
      <alignment horizontal="center" vertical="center" wrapText="1"/>
    </xf>
    <xf numFmtId="0" fontId="11" fillId="0" borderId="45" xfId="0" applyFont="1" applyBorder="1" applyAlignment="1">
      <alignment horizontal="center"/>
    </xf>
    <xf numFmtId="0" fontId="11" fillId="0" borderId="46" xfId="0" applyFont="1" applyBorder="1" applyAlignment="1">
      <alignment horizontal="center"/>
    </xf>
    <xf numFmtId="0" fontId="11" fillId="0" borderId="16" xfId="0" applyFont="1" applyBorder="1" applyAlignment="1">
      <alignment horizontal="center"/>
    </xf>
    <xf numFmtId="0" fontId="11" fillId="0" borderId="19" xfId="0" applyFont="1" applyBorder="1" applyAlignment="1">
      <alignment horizontal="center"/>
    </xf>
    <xf numFmtId="0" fontId="11" fillId="0" borderId="0" xfId="0" applyFont="1" applyBorder="1" applyAlignment="1">
      <alignment horizontal="center"/>
    </xf>
    <xf numFmtId="0" fontId="11" fillId="0" borderId="17" xfId="0" applyFont="1" applyBorder="1" applyAlignment="1">
      <alignment horizontal="center"/>
    </xf>
    <xf numFmtId="0" fontId="11" fillId="2" borderId="1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0" fillId="0" borderId="0" xfId="0" applyBorder="1" applyAlignment="1">
      <alignment horizontal="center"/>
    </xf>
    <xf numFmtId="0" fontId="0" fillId="0" borderId="17" xfId="0" applyBorder="1" applyAlignment="1">
      <alignment horizontal="center"/>
    </xf>
    <xf numFmtId="3" fontId="11" fillId="2" borderId="12" xfId="0" applyNumberFormat="1" applyFont="1" applyFill="1" applyBorder="1" applyAlignment="1">
      <alignment horizontal="center" vertical="center" wrapText="1"/>
    </xf>
    <xf numFmtId="3" fontId="11" fillId="2" borderId="15" xfId="0" applyNumberFormat="1"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0" fillId="0" borderId="42" xfId="0" applyFont="1" applyBorder="1" applyAlignment="1">
      <alignment horizontal="left"/>
    </xf>
    <xf numFmtId="0" fontId="0" fillId="0" borderId="43" xfId="0" applyFont="1" applyBorder="1" applyAlignment="1">
      <alignment horizontal="left"/>
    </xf>
    <xf numFmtId="0" fontId="0" fillId="0" borderId="18" xfId="0" applyFont="1" applyBorder="1" applyAlignment="1">
      <alignment horizontal="left"/>
    </xf>
    <xf numFmtId="3" fontId="11" fillId="2" borderId="13" xfId="0" applyNumberFormat="1" applyFont="1" applyFill="1" applyBorder="1" applyAlignment="1">
      <alignment horizontal="center" vertical="center"/>
    </xf>
    <xf numFmtId="3" fontId="11" fillId="2" borderId="15" xfId="0" applyNumberFormat="1" applyFont="1" applyFill="1" applyBorder="1" applyAlignment="1">
      <alignment horizontal="center" vertical="center"/>
    </xf>
    <xf numFmtId="0" fontId="12" fillId="0" borderId="42" xfId="0" applyFont="1" applyBorder="1" applyAlignment="1">
      <alignment horizontal="center"/>
    </xf>
    <xf numFmtId="0" fontId="12" fillId="0" borderId="43" xfId="0" applyFont="1" applyBorder="1" applyAlignment="1">
      <alignment horizontal="center"/>
    </xf>
    <xf numFmtId="0" fontId="12" fillId="0" borderId="18" xfId="0" applyFont="1" applyBorder="1" applyAlignment="1">
      <alignment horizontal="center"/>
    </xf>
    <xf numFmtId="0" fontId="81" fillId="2" borderId="42" xfId="0" applyFont="1" applyFill="1" applyBorder="1" applyAlignment="1">
      <alignment horizontal="center"/>
    </xf>
    <xf numFmtId="0" fontId="81" fillId="2" borderId="43" xfId="0" applyFont="1" applyFill="1" applyBorder="1" applyAlignment="1">
      <alignment horizontal="center"/>
    </xf>
    <xf numFmtId="0" fontId="81" fillId="2" borderId="18" xfId="0" applyFont="1" applyFill="1" applyBorder="1" applyAlignment="1">
      <alignment horizontal="center"/>
    </xf>
    <xf numFmtId="0" fontId="3" fillId="2" borderId="42"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108" xfId="0" applyFont="1" applyBorder="1" applyAlignment="1">
      <alignment horizontal="left"/>
    </xf>
    <xf numFmtId="0" fontId="0" fillId="0" borderId="109" xfId="0" applyFont="1" applyBorder="1" applyAlignment="1">
      <alignment horizontal="left"/>
    </xf>
    <xf numFmtId="10" fontId="80" fillId="2" borderId="50" xfId="0" applyNumberFormat="1" applyFont="1" applyFill="1" applyBorder="1" applyAlignment="1">
      <alignment horizontal="center"/>
    </xf>
    <xf numFmtId="10" fontId="80" fillId="2" borderId="51" xfId="0" applyNumberFormat="1" applyFont="1" applyFill="1" applyBorder="1" applyAlignment="1">
      <alignment horizontal="center"/>
    </xf>
    <xf numFmtId="10" fontId="80" fillId="2" borderId="104" xfId="0" applyNumberFormat="1" applyFont="1" applyFill="1" applyBorder="1" applyAlignment="1">
      <alignment horizontal="center"/>
    </xf>
    <xf numFmtId="0" fontId="80" fillId="2" borderId="63" xfId="0" applyFont="1" applyFill="1" applyBorder="1" applyAlignment="1">
      <alignment horizontal="center"/>
    </xf>
    <xf numFmtId="0" fontId="80" fillId="2" borderId="38" xfId="0" applyFont="1" applyFill="1" applyBorder="1" applyAlignment="1">
      <alignment horizontal="center"/>
    </xf>
    <xf numFmtId="0" fontId="80" fillId="2" borderId="47" xfId="0" applyFont="1" applyFill="1" applyBorder="1" applyAlignment="1">
      <alignment horizontal="center"/>
    </xf>
    <xf numFmtId="0" fontId="80" fillId="2" borderId="70" xfId="0" applyFont="1" applyFill="1" applyBorder="1" applyAlignment="1">
      <alignment horizontal="center"/>
    </xf>
    <xf numFmtId="0" fontId="80" fillId="2" borderId="60" xfId="0" applyFont="1" applyFill="1" applyBorder="1" applyAlignment="1">
      <alignment horizontal="center"/>
    </xf>
    <xf numFmtId="0" fontId="80" fillId="2" borderId="65" xfId="0" applyFont="1" applyFill="1" applyBorder="1" applyAlignment="1">
      <alignment horizontal="center"/>
    </xf>
    <xf numFmtId="0" fontId="0" fillId="0" borderId="110" xfId="0" applyFont="1" applyBorder="1" applyAlignment="1">
      <alignment horizontal="left"/>
    </xf>
    <xf numFmtId="0" fontId="0" fillId="0" borderId="59" xfId="0" applyFont="1" applyBorder="1" applyAlignment="1">
      <alignment horizontal="left"/>
    </xf>
    <xf numFmtId="0" fontId="0" fillId="0" borderId="111" xfId="0" applyFont="1" applyBorder="1" applyAlignment="1">
      <alignment horizontal="left"/>
    </xf>
    <xf numFmtId="0" fontId="0" fillId="0" borderId="112" xfId="0" applyFont="1" applyBorder="1" applyAlignment="1">
      <alignment horizontal="left"/>
    </xf>
    <xf numFmtId="0" fontId="3" fillId="0" borderId="113" xfId="0" applyFont="1" applyBorder="1" applyAlignment="1">
      <alignment horizontal="left"/>
    </xf>
    <xf numFmtId="0" fontId="3" fillId="0" borderId="114" xfId="0" applyFont="1" applyBorder="1" applyAlignment="1">
      <alignment horizontal="left"/>
    </xf>
    <xf numFmtId="0" fontId="80" fillId="0" borderId="0" xfId="0" applyFont="1" applyBorder="1" applyAlignment="1">
      <alignment horizontal="center"/>
    </xf>
    <xf numFmtId="0" fontId="3" fillId="2" borderId="54" xfId="0" applyFont="1" applyFill="1" applyBorder="1" applyAlignment="1">
      <alignment horizontal="center" vertical="center" textRotation="90"/>
    </xf>
    <xf numFmtId="0" fontId="3" fillId="2" borderId="38" xfId="0" applyFont="1" applyFill="1" applyBorder="1" applyAlignment="1">
      <alignment horizontal="center" vertical="center" textRotation="90"/>
    </xf>
    <xf numFmtId="0" fontId="3" fillId="2" borderId="47" xfId="0" applyFont="1" applyFill="1" applyBorder="1" applyAlignment="1">
      <alignment horizontal="center" vertical="center" textRotation="90"/>
    </xf>
    <xf numFmtId="0" fontId="80" fillId="2" borderId="54" xfId="0" applyFont="1" applyFill="1" applyBorder="1" applyAlignment="1">
      <alignment horizontal="center"/>
    </xf>
    <xf numFmtId="10" fontId="80" fillId="0" borderId="54" xfId="0" applyNumberFormat="1" applyFont="1" applyBorder="1" applyAlignment="1">
      <alignment horizontal="center"/>
    </xf>
    <xf numFmtId="10" fontId="80" fillId="0" borderId="38" xfId="0" applyNumberFormat="1" applyFont="1" applyBorder="1" applyAlignment="1">
      <alignment horizontal="center"/>
    </xf>
    <xf numFmtId="0" fontId="80" fillId="2" borderId="12" xfId="0" applyFont="1" applyFill="1" applyBorder="1" applyAlignment="1">
      <alignment horizontal="center"/>
    </xf>
    <xf numFmtId="0" fontId="80" fillId="2" borderId="13" xfId="0" applyFont="1" applyFill="1" applyBorder="1" applyAlignment="1">
      <alignment horizontal="center"/>
    </xf>
    <xf numFmtId="0" fontId="80" fillId="0" borderId="12" xfId="0" applyFont="1" applyBorder="1" applyAlignment="1">
      <alignment horizontal="center"/>
    </xf>
    <xf numFmtId="0" fontId="80" fillId="0" borderId="13" xfId="0" applyFont="1" applyBorder="1" applyAlignment="1">
      <alignment horizontal="center"/>
    </xf>
    <xf numFmtId="0" fontId="80" fillId="0" borderId="63" xfId="0" applyFont="1" applyBorder="1" applyAlignment="1">
      <alignment horizontal="center"/>
    </xf>
    <xf numFmtId="0" fontId="80" fillId="0" borderId="40" xfId="0" applyFont="1" applyBorder="1" applyAlignment="1">
      <alignment horizontal="center"/>
    </xf>
    <xf numFmtId="0" fontId="80" fillId="2" borderId="40" xfId="0" applyFont="1" applyFill="1" applyBorder="1" applyAlignment="1">
      <alignment horizontal="center"/>
    </xf>
    <xf numFmtId="3" fontId="80" fillId="2" borderId="38" xfId="0" applyNumberFormat="1" applyFont="1" applyFill="1" applyBorder="1" applyAlignment="1">
      <alignment horizontal="center"/>
    </xf>
    <xf numFmtId="10" fontId="80" fillId="2" borderId="38" xfId="0" applyNumberFormat="1" applyFont="1" applyFill="1" applyBorder="1" applyAlignment="1">
      <alignment horizontal="center"/>
    </xf>
    <xf numFmtId="10" fontId="80" fillId="2" borderId="40" xfId="0" applyNumberFormat="1" applyFont="1" applyFill="1" applyBorder="1" applyAlignment="1">
      <alignment horizontal="center"/>
    </xf>
    <xf numFmtId="0" fontId="3" fillId="2" borderId="54" xfId="0" applyFont="1" applyFill="1" applyBorder="1" applyAlignment="1">
      <alignment horizontal="center" vertical="center" textRotation="90" wrapText="1"/>
    </xf>
    <xf numFmtId="0" fontId="3" fillId="2" borderId="38" xfId="0" applyFont="1" applyFill="1" applyBorder="1" applyAlignment="1">
      <alignment horizontal="center" vertical="center" textRotation="90" wrapText="1"/>
    </xf>
    <xf numFmtId="0" fontId="3" fillId="2" borderId="40" xfId="0" applyFont="1" applyFill="1" applyBorder="1" applyAlignment="1">
      <alignment horizontal="center" vertical="center" textRotation="90" wrapText="1"/>
    </xf>
    <xf numFmtId="0" fontId="80" fillId="2" borderId="115" xfId="0" applyFont="1" applyFill="1" applyBorder="1" applyAlignment="1">
      <alignment horizontal="center"/>
    </xf>
    <xf numFmtId="0" fontId="80" fillId="2" borderId="116" xfId="0" applyFont="1" applyFill="1" applyBorder="1" applyAlignment="1">
      <alignment horizontal="center"/>
    </xf>
    <xf numFmtId="0" fontId="80" fillId="2" borderId="107" xfId="0" applyFont="1" applyFill="1" applyBorder="1" applyAlignment="1">
      <alignment horizontal="center"/>
    </xf>
    <xf numFmtId="0" fontId="80" fillId="2" borderId="53" xfId="0" applyFont="1" applyFill="1" applyBorder="1" applyAlignment="1">
      <alignment horizontal="center"/>
    </xf>
    <xf numFmtId="0" fontId="80" fillId="2" borderId="41" xfId="0" applyFont="1" applyFill="1" applyBorder="1" applyAlignment="1">
      <alignment horizontal="center"/>
    </xf>
    <xf numFmtId="0" fontId="80" fillId="2" borderId="39" xfId="0" applyFont="1" applyFill="1" applyBorder="1" applyAlignment="1">
      <alignment horizontal="center"/>
    </xf>
    <xf numFmtId="0" fontId="80" fillId="2" borderId="64" xfId="0" applyFont="1" applyFill="1" applyBorder="1" applyAlignment="1">
      <alignment horizontal="center"/>
    </xf>
    <xf numFmtId="0" fontId="3" fillId="0" borderId="117" xfId="0" applyFont="1" applyBorder="1" applyAlignment="1">
      <alignment horizontal="left"/>
    </xf>
    <xf numFmtId="0" fontId="3" fillId="0" borderId="118" xfId="0" applyFont="1" applyBorder="1" applyAlignment="1">
      <alignment horizontal="left"/>
    </xf>
    <xf numFmtId="0" fontId="3" fillId="0" borderId="119" xfId="0" applyFont="1" applyBorder="1" applyAlignment="1">
      <alignment horizontal="left"/>
    </xf>
    <xf numFmtId="0" fontId="3" fillId="0" borderId="120" xfId="0" applyFont="1" applyBorder="1" applyAlignment="1">
      <alignment horizontal="left"/>
    </xf>
    <xf numFmtId="10" fontId="3" fillId="2" borderId="54" xfId="0" applyNumberFormat="1" applyFont="1" applyFill="1" applyBorder="1" applyAlignment="1">
      <alignment horizontal="right" vertical="center"/>
    </xf>
    <xf numFmtId="10" fontId="3" fillId="2" borderId="47" xfId="0" applyNumberFormat="1" applyFont="1" applyFill="1" applyBorder="1" applyAlignment="1">
      <alignment horizontal="right" vertical="center"/>
    </xf>
    <xf numFmtId="10" fontId="3" fillId="2" borderId="69" xfId="0" applyNumberFormat="1" applyFont="1" applyFill="1" applyBorder="1" applyAlignment="1">
      <alignment horizontal="right" vertical="center"/>
    </xf>
    <xf numFmtId="10" fontId="3" fillId="2" borderId="57" xfId="0" applyNumberFormat="1" applyFont="1" applyFill="1" applyBorder="1" applyAlignment="1">
      <alignment horizontal="right" vertical="center"/>
    </xf>
    <xf numFmtId="10" fontId="3" fillId="2" borderId="54" xfId="0" applyNumberFormat="1" applyFont="1" applyFill="1" applyBorder="1" applyAlignment="1">
      <alignment horizontal="center"/>
    </xf>
    <xf numFmtId="10" fontId="3" fillId="2" borderId="47" xfId="0" applyNumberFormat="1" applyFont="1" applyFill="1" applyBorder="1" applyAlignment="1">
      <alignment horizontal="center"/>
    </xf>
    <xf numFmtId="0" fontId="3" fillId="2" borderId="54" xfId="0" applyFont="1" applyFill="1" applyBorder="1" applyAlignment="1">
      <alignment horizontal="center"/>
    </xf>
    <xf numFmtId="0" fontId="3" fillId="2" borderId="47" xfId="0" applyFont="1" applyFill="1" applyBorder="1" applyAlignment="1">
      <alignment horizontal="center"/>
    </xf>
    <xf numFmtId="0" fontId="3" fillId="0" borderId="113" xfId="0" applyFont="1" applyBorder="1" applyAlignment="1">
      <alignment horizontal="left" wrapText="1"/>
    </xf>
    <xf numFmtId="0" fontId="3" fillId="0" borderId="114" xfId="0" applyFont="1" applyBorder="1" applyAlignment="1">
      <alignment horizontal="left" wrapText="1"/>
    </xf>
    <xf numFmtId="0" fontId="3" fillId="2" borderId="54"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47" xfId="0" applyFont="1" applyFill="1" applyBorder="1" applyAlignment="1">
      <alignment horizontal="center" vertical="center"/>
    </xf>
    <xf numFmtId="0" fontId="0" fillId="0" borderId="52" xfId="0" applyFont="1" applyBorder="1" applyAlignment="1">
      <alignment horizontal="left"/>
    </xf>
    <xf numFmtId="0" fontId="3" fillId="0" borderId="121" xfId="0" applyFont="1" applyFill="1" applyBorder="1" applyAlignment="1">
      <alignment horizontal="left"/>
    </xf>
    <xf numFmtId="0" fontId="3" fillId="0" borderId="122" xfId="0" applyFont="1" applyFill="1" applyBorder="1" applyAlignment="1">
      <alignment horizontal="left"/>
    </xf>
    <xf numFmtId="0" fontId="80" fillId="0" borderId="0" xfId="0" applyFont="1" applyBorder="1" applyAlignment="1">
      <alignment horizontal="left" wrapText="1"/>
    </xf>
    <xf numFmtId="0" fontId="81" fillId="2" borderId="45" xfId="0" applyFont="1" applyFill="1" applyBorder="1" applyAlignment="1">
      <alignment horizontal="center" vertical="center"/>
    </xf>
    <xf numFmtId="0" fontId="81" fillId="2" borderId="19" xfId="0" applyFont="1" applyFill="1" applyBorder="1" applyAlignment="1">
      <alignment horizontal="center" vertical="center"/>
    </xf>
    <xf numFmtId="0" fontId="81" fillId="2" borderId="11" xfId="0" applyFont="1" applyFill="1" applyBorder="1" applyAlignment="1">
      <alignment horizontal="center" vertical="center"/>
    </xf>
    <xf numFmtId="10" fontId="3" fillId="2" borderId="106" xfId="0" applyNumberFormat="1" applyFont="1" applyFill="1" applyBorder="1" applyAlignment="1">
      <alignment horizontal="center" vertical="center" wrapText="1"/>
    </xf>
    <xf numFmtId="10" fontId="3" fillId="2" borderId="123" xfId="0" applyNumberFormat="1" applyFont="1" applyFill="1" applyBorder="1" applyAlignment="1">
      <alignment horizontal="center" vertical="center" wrapText="1"/>
    </xf>
    <xf numFmtId="10" fontId="3" fillId="2" borderId="120" xfId="0" applyNumberFormat="1" applyFont="1" applyFill="1" applyBorder="1" applyAlignment="1">
      <alignment horizontal="center" vertical="center" wrapText="1"/>
    </xf>
    <xf numFmtId="0" fontId="81" fillId="0" borderId="42" xfId="0" applyFont="1" applyBorder="1" applyAlignment="1">
      <alignment horizontal="center"/>
    </xf>
    <xf numFmtId="0" fontId="81" fillId="0" borderId="43" xfId="0" applyFont="1" applyBorder="1" applyAlignment="1">
      <alignment horizontal="center"/>
    </xf>
    <xf numFmtId="0" fontId="81" fillId="0" borderId="18" xfId="0" applyFont="1" applyBorder="1" applyAlignment="1">
      <alignment horizontal="center"/>
    </xf>
    <xf numFmtId="0" fontId="81" fillId="2" borderId="12" xfId="0" applyFont="1" applyFill="1" applyBorder="1" applyAlignment="1">
      <alignment horizontal="center" vertical="center"/>
    </xf>
    <xf numFmtId="0" fontId="81" fillId="2" borderId="13" xfId="0" applyFont="1" applyFill="1" applyBorder="1" applyAlignment="1">
      <alignment horizontal="center" vertical="center"/>
    </xf>
    <xf numFmtId="0" fontId="81" fillId="2" borderId="15" xfId="0" applyFont="1" applyFill="1" applyBorder="1" applyAlignment="1">
      <alignment horizontal="center" vertical="center"/>
    </xf>
    <xf numFmtId="0" fontId="80" fillId="0" borderId="41" xfId="0" applyFont="1" applyBorder="1" applyAlignment="1">
      <alignment horizontal="left"/>
    </xf>
    <xf numFmtId="0" fontId="80" fillId="0" borderId="124" xfId="0" applyFont="1" applyBorder="1" applyAlignment="1">
      <alignment horizontal="left"/>
    </xf>
    <xf numFmtId="0" fontId="80" fillId="0" borderId="52" xfId="0" applyFont="1" applyBorder="1" applyAlignment="1">
      <alignment horizontal="left"/>
    </xf>
    <xf numFmtId="0" fontId="81" fillId="0" borderId="113" xfId="0" applyFont="1" applyBorder="1" applyAlignment="1">
      <alignment horizontal="center"/>
    </xf>
    <xf numFmtId="0" fontId="81" fillId="0" borderId="125" xfId="0" applyFont="1" applyBorder="1" applyAlignment="1">
      <alignment horizontal="center"/>
    </xf>
    <xf numFmtId="0" fontId="81" fillId="0" borderId="114" xfId="0" applyFont="1" applyBorder="1" applyAlignment="1">
      <alignment horizontal="center"/>
    </xf>
    <xf numFmtId="0" fontId="23" fillId="0" borderId="35" xfId="0" applyFont="1" applyBorder="1" applyAlignment="1">
      <alignment horizontal="left"/>
    </xf>
    <xf numFmtId="0" fontId="24" fillId="0" borderId="0" xfId="0" applyFont="1" applyBorder="1" applyAlignment="1">
      <alignment horizontal="left"/>
    </xf>
    <xf numFmtId="0" fontId="25" fillId="0" borderId="0" xfId="0" applyFont="1" applyBorder="1" applyAlignment="1">
      <alignment horizontal="right"/>
    </xf>
    <xf numFmtId="0" fontId="23" fillId="0" borderId="53" xfId="0" applyFont="1" applyBorder="1" applyAlignment="1">
      <alignment horizontal="left"/>
    </xf>
    <xf numFmtId="0" fontId="23" fillId="0" borderId="51" xfId="0" applyFont="1" applyBorder="1" applyAlignment="1">
      <alignment horizontal="left"/>
    </xf>
    <xf numFmtId="0" fontId="23" fillId="0" borderId="107" xfId="0" applyFont="1" applyBorder="1" applyAlignment="1">
      <alignment horizontal="left"/>
    </xf>
    <xf numFmtId="0" fontId="26" fillId="0" borderId="0" xfId="0" applyFont="1" applyAlignment="1">
      <alignment horizontal="center"/>
    </xf>
    <xf numFmtId="0" fontId="22" fillId="0" borderId="53" xfId="0" applyFont="1" applyBorder="1" applyAlignment="1">
      <alignment horizontal="center"/>
    </xf>
    <xf numFmtId="0" fontId="22" fillId="0" borderId="51" xfId="0" applyFont="1" applyBorder="1" applyAlignment="1">
      <alignment horizontal="center"/>
    </xf>
    <xf numFmtId="0" fontId="22" fillId="0" borderId="107" xfId="0" applyFont="1" applyBorder="1" applyAlignment="1">
      <alignment horizontal="center"/>
    </xf>
    <xf numFmtId="0" fontId="21" fillId="0" borderId="0" xfId="0" applyFont="1" applyAlignment="1">
      <alignment horizontal="center"/>
    </xf>
    <xf numFmtId="0" fontId="22" fillId="33" borderId="0" xfId="0" applyFont="1" applyFill="1" applyAlignment="1">
      <alignment horizontal="center"/>
    </xf>
    <xf numFmtId="3" fontId="78" fillId="0" borderId="19" xfId="0" applyNumberFormat="1" applyFont="1" applyFill="1" applyBorder="1" applyAlignment="1">
      <alignment horizontal="center" vertical="center"/>
    </xf>
    <xf numFmtId="3" fontId="88" fillId="36" borderId="14" xfId="0" applyNumberFormat="1" applyFont="1" applyFill="1" applyBorder="1" applyAlignment="1">
      <alignment/>
    </xf>
    <xf numFmtId="41" fontId="0" fillId="0" borderId="0" xfId="49" applyFont="1" applyAlignment="1">
      <alignment/>
    </xf>
    <xf numFmtId="10" fontId="0" fillId="0" borderId="0" xfId="54" applyNumberFormat="1" applyFont="1" applyAlignment="1">
      <alignment/>
    </xf>
    <xf numFmtId="202" fontId="0" fillId="0" borderId="0" xfId="54" applyNumberFormat="1" applyFont="1" applyAlignment="1">
      <alignment/>
    </xf>
    <xf numFmtId="41" fontId="0" fillId="0" borderId="0" xfId="49" applyFont="1" applyAlignment="1">
      <alignment wrapText="1"/>
    </xf>
    <xf numFmtId="41" fontId="3" fillId="0" borderId="0" xfId="49" applyFont="1" applyAlignment="1">
      <alignment/>
    </xf>
    <xf numFmtId="202" fontId="3" fillId="0" borderId="0" xfId="54" applyNumberFormat="1" applyFont="1" applyAlignment="1">
      <alignment/>
    </xf>
    <xf numFmtId="41" fontId="3" fillId="0" borderId="0" xfId="49" applyFont="1" applyAlignment="1">
      <alignment wrapText="1"/>
    </xf>
    <xf numFmtId="3" fontId="3" fillId="36" borderId="35" xfId="0" applyNumberFormat="1" applyFont="1" applyFill="1" applyBorder="1" applyAlignment="1">
      <alignment/>
    </xf>
    <xf numFmtId="4" fontId="0" fillId="36" borderId="0" xfId="0" applyNumberFormat="1" applyFont="1" applyFill="1" applyAlignment="1">
      <alignment/>
    </xf>
    <xf numFmtId="201" fontId="3" fillId="0" borderId="0" xfId="54" applyNumberFormat="1" applyFont="1" applyAlignment="1">
      <alignment wrapText="1"/>
    </xf>
    <xf numFmtId="0" fontId="3" fillId="0" borderId="0" xfId="0" applyFont="1" applyFill="1" applyBorder="1" applyAlignment="1">
      <alignment/>
    </xf>
    <xf numFmtId="3" fontId="3" fillId="0" borderId="0" xfId="0" applyNumberFormat="1" applyFont="1" applyAlignment="1">
      <alignment/>
    </xf>
    <xf numFmtId="41" fontId="0" fillId="0" borderId="0" xfId="0" applyNumberFormat="1" applyFont="1" applyAlignment="1">
      <alignment/>
    </xf>
    <xf numFmtId="10" fontId="3" fillId="36" borderId="14" xfId="0" applyNumberFormat="1" applyFont="1" applyFill="1" applyBorder="1" applyAlignment="1">
      <alignment/>
    </xf>
    <xf numFmtId="10" fontId="67" fillId="0" borderId="0" xfId="46" applyNumberFormat="1" applyAlignment="1">
      <alignment/>
    </xf>
    <xf numFmtId="0" fontId="80" fillId="0" borderId="0" xfId="49" applyNumberFormat="1" applyFont="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66675</xdr:rowOff>
    </xdr:from>
    <xdr:to>
      <xdr:col>5</xdr:col>
      <xdr:colOff>38100</xdr:colOff>
      <xdr:row>2</xdr:row>
      <xdr:rowOff>114300</xdr:rowOff>
    </xdr:to>
    <xdr:pic>
      <xdr:nvPicPr>
        <xdr:cNvPr id="1" name="83 Imagen"/>
        <xdr:cNvPicPr preferRelativeResize="1">
          <a:picLocks noChangeAspect="1"/>
        </xdr:cNvPicPr>
      </xdr:nvPicPr>
      <xdr:blipFill>
        <a:blip r:embed="rId1"/>
        <a:srcRect l="10862" t="21176" r="58758" b="64234"/>
        <a:stretch>
          <a:fillRect/>
        </a:stretch>
      </xdr:blipFill>
      <xdr:spPr>
        <a:xfrm>
          <a:off x="114300" y="66675"/>
          <a:ext cx="1066800" cy="400050"/>
        </a:xfrm>
        <a:prstGeom prst="rect">
          <a:avLst/>
        </a:prstGeom>
        <a:noFill/>
        <a:ln w="9525" cmpd="sng">
          <a:noFill/>
        </a:ln>
      </xdr:spPr>
    </xdr:pic>
    <xdr:clientData/>
  </xdr:twoCellAnchor>
  <xdr:twoCellAnchor editAs="oneCell">
    <xdr:from>
      <xdr:col>0</xdr:col>
      <xdr:colOff>133350</xdr:colOff>
      <xdr:row>4</xdr:row>
      <xdr:rowOff>28575</xdr:rowOff>
    </xdr:from>
    <xdr:to>
      <xdr:col>16</xdr:col>
      <xdr:colOff>66675</xdr:colOff>
      <xdr:row>7</xdr:row>
      <xdr:rowOff>47625</xdr:rowOff>
    </xdr:to>
    <xdr:pic>
      <xdr:nvPicPr>
        <xdr:cNvPr id="2" name="79 Imagen"/>
        <xdr:cNvPicPr preferRelativeResize="1">
          <a:picLocks noChangeAspect="1"/>
        </xdr:cNvPicPr>
      </xdr:nvPicPr>
      <xdr:blipFill>
        <a:blip r:embed="rId2"/>
        <a:srcRect l="13208" t="25683" r="50553" b="67068"/>
        <a:stretch>
          <a:fillRect/>
        </a:stretch>
      </xdr:blipFill>
      <xdr:spPr>
        <a:xfrm>
          <a:off x="133350" y="704850"/>
          <a:ext cx="34290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LIECER\Documents\NUEVA%20LEGISLACION\CARTILLAS%202018\CARTILLA%20RENTA%20NATURALES%202018\DEFINITIVO\TALLER%20RENTA%20NATURALES%202018_DEFINITIVO-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2016"/>
      <sheetName val="INFORMACION"/>
      <sheetName val="ANEXO 1"/>
      <sheetName val="ANEXO 2"/>
      <sheetName val="ANEXO 3"/>
      <sheetName val="ANEXO 4"/>
      <sheetName val="ANEXO 5"/>
      <sheetName val="ANEXO 6"/>
      <sheetName val="ANEXO 7"/>
      <sheetName val="ANEXO 8"/>
      <sheetName val="ANEXO 9"/>
      <sheetName val="ANEXO 10"/>
      <sheetName val="ANEXO 11"/>
      <sheetName val="ANEXO 12"/>
      <sheetName val="ANEXO 13"/>
      <sheetName val="ANEXO 14"/>
      <sheetName val="ANEXO 15"/>
      <sheetName val="INDICE"/>
      <sheetName val="Hoja1"/>
      <sheetName val="Hoja3"/>
    </sheetNames>
    <sheetDataSet>
      <sheetData sheetId="7">
        <row r="49">
          <cell r="E49">
            <v>6117000</v>
          </cell>
        </row>
        <row r="50">
          <cell r="E50">
            <v>12234000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consultorcontable.com/" TargetMode="Externa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I58"/>
  <sheetViews>
    <sheetView showGridLines="0" zoomScale="160" zoomScaleNormal="160" zoomScalePageLayoutView="0" workbookViewId="0" topLeftCell="L6">
      <selection activeCell="T15" sqref="T15:AE15"/>
    </sheetView>
  </sheetViews>
  <sheetFormatPr defaultColWidth="11.421875" defaultRowHeight="12.75"/>
  <cols>
    <col min="1" max="1" width="4.28125" style="0" customWidth="1"/>
    <col min="2" max="2" width="2.8515625" style="0" customWidth="1"/>
    <col min="3" max="3" width="3.421875" style="0" customWidth="1"/>
    <col min="4" max="4" width="3.140625" style="0" customWidth="1"/>
    <col min="5" max="5" width="3.421875" style="0" customWidth="1"/>
    <col min="6" max="6" width="3.57421875" style="0" customWidth="1"/>
    <col min="7" max="7" width="3.7109375" style="0" customWidth="1"/>
    <col min="8" max="8" width="3.140625" style="0" customWidth="1"/>
    <col min="9" max="9" width="3.28125" style="0" customWidth="1"/>
    <col min="10" max="12" width="3.421875" style="0" customWidth="1"/>
    <col min="13" max="13" width="3.00390625" style="0" customWidth="1"/>
    <col min="14" max="14" width="2.7109375" style="0" customWidth="1"/>
    <col min="15" max="15" width="2.8515625" style="0" customWidth="1"/>
    <col min="16" max="16" width="2.7109375" style="0" customWidth="1"/>
    <col min="17" max="17" width="3.8515625" style="0" customWidth="1"/>
    <col min="18" max="18" width="2.7109375" style="0" customWidth="1"/>
    <col min="19" max="19" width="3.7109375" style="0" customWidth="1"/>
    <col min="20" max="20" width="2.7109375" style="0" customWidth="1"/>
    <col min="21" max="21" width="3.00390625" style="0" customWidth="1"/>
    <col min="22" max="24" width="2.8515625" style="0" customWidth="1"/>
    <col min="25" max="25" width="3.28125" style="0" customWidth="1"/>
    <col min="26" max="26" width="3.140625" style="0" customWidth="1"/>
    <col min="27" max="29" width="3.28125" style="0" customWidth="1"/>
    <col min="30" max="30" width="3.00390625" style="0" customWidth="1"/>
    <col min="31" max="31" width="3.140625" style="0" customWidth="1"/>
    <col min="32" max="32" width="3.57421875" style="0" customWidth="1"/>
    <col min="33" max="34" width="2.8515625" style="0" customWidth="1"/>
    <col min="35" max="35" width="3.421875" style="0" customWidth="1"/>
    <col min="36" max="36" width="2.7109375" style="0" customWidth="1"/>
    <col min="37" max="37" width="3.00390625" style="0" customWidth="1"/>
    <col min="38" max="45" width="2.7109375" style="1" customWidth="1"/>
    <col min="46" max="46" width="8.28125" style="1" customWidth="1"/>
    <col min="47" max="126" width="2.7109375" style="1" customWidth="1"/>
    <col min="127" max="132" width="2.7109375" style="0" customWidth="1"/>
  </cols>
  <sheetData>
    <row r="1" spans="1:61" ht="15.75" customHeight="1">
      <c r="A1" s="593"/>
      <c r="B1" s="594"/>
      <c r="C1" s="594"/>
      <c r="D1" s="594"/>
      <c r="E1" s="594"/>
      <c r="F1" s="595"/>
      <c r="G1" s="580" t="s">
        <v>166</v>
      </c>
      <c r="H1" s="581"/>
      <c r="I1" s="581"/>
      <c r="J1" s="581"/>
      <c r="K1" s="581"/>
      <c r="L1" s="581"/>
      <c r="M1" s="581"/>
      <c r="N1" s="581"/>
      <c r="O1" s="581"/>
      <c r="P1" s="581"/>
      <c r="Q1" s="581"/>
      <c r="R1" s="581"/>
      <c r="S1" s="581"/>
      <c r="T1" s="581"/>
      <c r="U1" s="581"/>
      <c r="V1" s="581"/>
      <c r="W1" s="581"/>
      <c r="X1" s="582"/>
      <c r="Y1" s="626" t="s">
        <v>78</v>
      </c>
      <c r="Z1" s="627"/>
      <c r="AA1" s="628"/>
      <c r="AB1" s="628"/>
      <c r="AC1" s="628"/>
      <c r="AD1" s="628"/>
      <c r="AE1" s="628"/>
      <c r="AF1" s="629"/>
      <c r="AG1" s="617" t="s">
        <v>0</v>
      </c>
      <c r="AH1" s="618"/>
      <c r="AI1" s="618"/>
      <c r="AJ1" s="618"/>
      <c r="AK1" s="619"/>
      <c r="AL1" s="589"/>
      <c r="AM1" s="589"/>
      <c r="AN1" s="589"/>
      <c r="AO1" s="589"/>
      <c r="AP1" s="69"/>
      <c r="AQ1" s="69"/>
      <c r="AR1" s="69"/>
      <c r="AS1" s="579"/>
      <c r="AT1" s="579"/>
      <c r="AU1" s="579"/>
      <c r="AV1" s="579"/>
      <c r="AW1" s="579"/>
      <c r="AX1" s="579"/>
      <c r="AY1" s="579"/>
      <c r="AZ1" s="579"/>
      <c r="BA1" s="579"/>
      <c r="BB1" s="579"/>
      <c r="BC1" s="69"/>
      <c r="BD1" s="69"/>
      <c r="BE1" s="69"/>
      <c r="BF1" s="69"/>
      <c r="BG1" s="69"/>
      <c r="BH1" s="69"/>
      <c r="BI1" s="69"/>
    </row>
    <row r="2" spans="1:61" ht="12" customHeight="1">
      <c r="A2" s="596"/>
      <c r="B2" s="597"/>
      <c r="C2" s="597"/>
      <c r="D2" s="597"/>
      <c r="E2" s="597"/>
      <c r="F2" s="598"/>
      <c r="G2" s="583"/>
      <c r="H2" s="584"/>
      <c r="I2" s="584"/>
      <c r="J2" s="584"/>
      <c r="K2" s="584"/>
      <c r="L2" s="584"/>
      <c r="M2" s="584"/>
      <c r="N2" s="584"/>
      <c r="O2" s="584"/>
      <c r="P2" s="584"/>
      <c r="Q2" s="584"/>
      <c r="R2" s="584"/>
      <c r="S2" s="584"/>
      <c r="T2" s="584"/>
      <c r="U2" s="584"/>
      <c r="V2" s="584"/>
      <c r="W2" s="584"/>
      <c r="X2" s="585"/>
      <c r="Y2" s="630"/>
      <c r="Z2" s="631"/>
      <c r="AA2" s="632"/>
      <c r="AB2" s="632"/>
      <c r="AC2" s="632"/>
      <c r="AD2" s="632"/>
      <c r="AE2" s="632"/>
      <c r="AF2" s="633"/>
      <c r="AG2" s="620"/>
      <c r="AH2" s="621"/>
      <c r="AI2" s="621"/>
      <c r="AJ2" s="621"/>
      <c r="AK2" s="622"/>
      <c r="AL2" s="589"/>
      <c r="AM2" s="589"/>
      <c r="AN2" s="589"/>
      <c r="AO2" s="589"/>
      <c r="AP2" s="69"/>
      <c r="AQ2" s="69"/>
      <c r="AR2" s="69"/>
      <c r="AS2" s="579"/>
      <c r="AT2" s="579"/>
      <c r="AU2" s="579"/>
      <c r="AV2" s="579"/>
      <c r="AW2" s="579"/>
      <c r="AX2" s="579"/>
      <c r="AY2" s="579"/>
      <c r="AZ2" s="579"/>
      <c r="BA2" s="579"/>
      <c r="BB2" s="579"/>
      <c r="BC2" s="69"/>
      <c r="BD2" s="69"/>
      <c r="BE2" s="69"/>
      <c r="BF2" s="69"/>
      <c r="BG2" s="69"/>
      <c r="BH2" s="69"/>
      <c r="BI2" s="69"/>
    </row>
    <row r="3" spans="1:61" ht="11.25" customHeight="1" thickBot="1">
      <c r="A3" s="599"/>
      <c r="B3" s="600"/>
      <c r="C3" s="600"/>
      <c r="D3" s="600"/>
      <c r="E3" s="600"/>
      <c r="F3" s="601"/>
      <c r="G3" s="586"/>
      <c r="H3" s="587"/>
      <c r="I3" s="587"/>
      <c r="J3" s="587"/>
      <c r="K3" s="587"/>
      <c r="L3" s="587"/>
      <c r="M3" s="587"/>
      <c r="N3" s="587"/>
      <c r="O3" s="587"/>
      <c r="P3" s="587"/>
      <c r="Q3" s="587"/>
      <c r="R3" s="587"/>
      <c r="S3" s="587"/>
      <c r="T3" s="587"/>
      <c r="U3" s="587"/>
      <c r="V3" s="587"/>
      <c r="W3" s="587"/>
      <c r="X3" s="588"/>
      <c r="Y3" s="634"/>
      <c r="Z3" s="635"/>
      <c r="AA3" s="636"/>
      <c r="AB3" s="636"/>
      <c r="AC3" s="636"/>
      <c r="AD3" s="636"/>
      <c r="AE3" s="636"/>
      <c r="AF3" s="637"/>
      <c r="AG3" s="623"/>
      <c r="AH3" s="624"/>
      <c r="AI3" s="624"/>
      <c r="AJ3" s="624"/>
      <c r="AK3" s="625"/>
      <c r="AL3" s="589"/>
      <c r="AM3" s="589"/>
      <c r="AN3" s="589"/>
      <c r="AO3" s="589"/>
      <c r="AP3" s="69"/>
      <c r="AQ3" s="69"/>
      <c r="AR3" s="69"/>
      <c r="AS3" s="69"/>
      <c r="AT3" s="69"/>
      <c r="AU3" s="69"/>
      <c r="AV3" s="69"/>
      <c r="AW3" s="69"/>
      <c r="AX3" s="69"/>
      <c r="AY3" s="69"/>
      <c r="AZ3" s="69"/>
      <c r="BA3" s="69"/>
      <c r="BB3" s="69"/>
      <c r="BC3" s="69"/>
      <c r="BD3" s="69"/>
      <c r="BE3" s="69"/>
      <c r="BF3" s="69"/>
      <c r="BG3" s="69"/>
      <c r="BH3" s="69"/>
      <c r="BI3" s="69"/>
    </row>
    <row r="4" spans="1:37" ht="14.25" customHeight="1">
      <c r="A4" s="736" t="s">
        <v>1</v>
      </c>
      <c r="B4" s="737"/>
      <c r="C4" s="35">
        <v>2</v>
      </c>
      <c r="D4" s="35">
        <v>0</v>
      </c>
      <c r="E4" s="35">
        <v>1</v>
      </c>
      <c r="F4" s="35">
        <v>7</v>
      </c>
      <c r="G4" s="602"/>
      <c r="H4" s="602"/>
      <c r="I4" s="602"/>
      <c r="J4" s="602"/>
      <c r="K4" s="602"/>
      <c r="L4" s="602"/>
      <c r="M4" s="602"/>
      <c r="N4" s="602"/>
      <c r="O4" s="602"/>
      <c r="P4" s="603"/>
      <c r="Q4" s="604"/>
      <c r="R4" s="742"/>
      <c r="S4" s="743"/>
      <c r="T4" s="743"/>
      <c r="U4" s="743"/>
      <c r="V4" s="743"/>
      <c r="W4" s="743"/>
      <c r="X4" s="743"/>
      <c r="Y4" s="743"/>
      <c r="Z4" s="743"/>
      <c r="AA4" s="743"/>
      <c r="AB4" s="743"/>
      <c r="AC4" s="743"/>
      <c r="AD4" s="743"/>
      <c r="AE4" s="743"/>
      <c r="AF4" s="743"/>
      <c r="AG4" s="743"/>
      <c r="AH4" s="743"/>
      <c r="AI4" s="743"/>
      <c r="AJ4" s="743"/>
      <c r="AK4" s="744"/>
    </row>
    <row r="5" spans="1:37" ht="13.5" customHeight="1">
      <c r="A5" s="605"/>
      <c r="B5" s="606"/>
      <c r="C5" s="606"/>
      <c r="D5" s="606"/>
      <c r="E5" s="606"/>
      <c r="F5" s="606"/>
      <c r="G5" s="606"/>
      <c r="H5" s="606"/>
      <c r="I5" s="606"/>
      <c r="J5" s="606"/>
      <c r="K5" s="606"/>
      <c r="L5" s="606"/>
      <c r="M5" s="606"/>
      <c r="N5" s="606"/>
      <c r="O5" s="606"/>
      <c r="P5" s="607"/>
      <c r="Q5" s="608"/>
      <c r="R5" s="647" t="s">
        <v>88</v>
      </c>
      <c r="S5" s="648"/>
      <c r="T5" s="648"/>
      <c r="U5" s="648"/>
      <c r="V5" s="648"/>
      <c r="W5" s="648"/>
      <c r="X5" s="648"/>
      <c r="Y5" s="648"/>
      <c r="Z5" s="648"/>
      <c r="AA5" s="648"/>
      <c r="AB5" s="648"/>
      <c r="AC5" s="648"/>
      <c r="AD5" s="648"/>
      <c r="AE5" s="648"/>
      <c r="AF5" s="648"/>
      <c r="AG5" s="648"/>
      <c r="AH5" s="648"/>
      <c r="AI5" s="648"/>
      <c r="AJ5" s="648"/>
      <c r="AK5" s="649"/>
    </row>
    <row r="6" spans="1:37" ht="0.75" customHeight="1">
      <c r="A6" s="609"/>
      <c r="B6" s="610"/>
      <c r="C6" s="610"/>
      <c r="D6" s="610"/>
      <c r="E6" s="610"/>
      <c r="F6" s="610"/>
      <c r="G6" s="610"/>
      <c r="H6" s="610"/>
      <c r="I6" s="610"/>
      <c r="J6" s="610"/>
      <c r="K6" s="610"/>
      <c r="L6" s="610"/>
      <c r="M6" s="610"/>
      <c r="N6" s="610"/>
      <c r="O6" s="610"/>
      <c r="P6" s="611"/>
      <c r="Q6" s="612"/>
      <c r="R6" s="650"/>
      <c r="S6" s="651"/>
      <c r="T6" s="651"/>
      <c r="U6" s="651"/>
      <c r="V6" s="651"/>
      <c r="W6" s="651"/>
      <c r="X6" s="651"/>
      <c r="Y6" s="651"/>
      <c r="Z6" s="651"/>
      <c r="AA6" s="651"/>
      <c r="AB6" s="651"/>
      <c r="AC6" s="651"/>
      <c r="AD6" s="651"/>
      <c r="AE6" s="651"/>
      <c r="AF6" s="651"/>
      <c r="AG6" s="651"/>
      <c r="AH6" s="651"/>
      <c r="AI6" s="651"/>
      <c r="AJ6" s="651"/>
      <c r="AK6" s="652"/>
    </row>
    <row r="7" spans="1:37" ht="13.5" customHeight="1">
      <c r="A7" s="609"/>
      <c r="B7" s="610"/>
      <c r="C7" s="610"/>
      <c r="D7" s="610"/>
      <c r="E7" s="610"/>
      <c r="F7" s="610"/>
      <c r="G7" s="610"/>
      <c r="H7" s="610"/>
      <c r="I7" s="610"/>
      <c r="J7" s="610"/>
      <c r="K7" s="610"/>
      <c r="L7" s="610"/>
      <c r="M7" s="610"/>
      <c r="N7" s="610"/>
      <c r="O7" s="610"/>
      <c r="P7" s="611"/>
      <c r="Q7" s="612"/>
      <c r="R7" s="650"/>
      <c r="S7" s="651"/>
      <c r="T7" s="651"/>
      <c r="U7" s="651"/>
      <c r="V7" s="651"/>
      <c r="W7" s="651"/>
      <c r="X7" s="651"/>
      <c r="Y7" s="651"/>
      <c r="Z7" s="651"/>
      <c r="AA7" s="651"/>
      <c r="AB7" s="651"/>
      <c r="AC7" s="651"/>
      <c r="AD7" s="651"/>
      <c r="AE7" s="651"/>
      <c r="AF7" s="651"/>
      <c r="AG7" s="651"/>
      <c r="AH7" s="651"/>
      <c r="AI7" s="651"/>
      <c r="AJ7" s="651"/>
      <c r="AK7" s="652"/>
    </row>
    <row r="8" spans="1:37" ht="8.25" customHeight="1" thickBot="1">
      <c r="A8" s="613"/>
      <c r="B8" s="614"/>
      <c r="C8" s="614"/>
      <c r="D8" s="614"/>
      <c r="E8" s="614"/>
      <c r="F8" s="614"/>
      <c r="G8" s="614"/>
      <c r="H8" s="614"/>
      <c r="I8" s="614"/>
      <c r="J8" s="614"/>
      <c r="K8" s="614"/>
      <c r="L8" s="614"/>
      <c r="M8" s="614"/>
      <c r="N8" s="614"/>
      <c r="O8" s="614"/>
      <c r="P8" s="615"/>
      <c r="Q8" s="616"/>
      <c r="R8" s="653"/>
      <c r="S8" s="654"/>
      <c r="T8" s="654"/>
      <c r="U8" s="654"/>
      <c r="V8" s="654"/>
      <c r="W8" s="654"/>
      <c r="X8" s="654"/>
      <c r="Y8" s="654"/>
      <c r="Z8" s="654"/>
      <c r="AA8" s="654"/>
      <c r="AB8" s="654"/>
      <c r="AC8" s="654"/>
      <c r="AD8" s="654"/>
      <c r="AE8" s="654"/>
      <c r="AF8" s="654"/>
      <c r="AG8" s="654"/>
      <c r="AH8" s="654"/>
      <c r="AI8" s="654"/>
      <c r="AJ8" s="654"/>
      <c r="AK8" s="655"/>
    </row>
    <row r="9" spans="1:37" ht="11.25" customHeight="1">
      <c r="A9" s="765" t="s">
        <v>75</v>
      </c>
      <c r="B9" s="740" t="s">
        <v>2</v>
      </c>
      <c r="C9" s="741"/>
      <c r="D9" s="741"/>
      <c r="E9" s="741"/>
      <c r="F9" s="741"/>
      <c r="G9" s="741"/>
      <c r="H9" s="741"/>
      <c r="I9" s="741"/>
      <c r="J9" s="741"/>
      <c r="K9" s="741"/>
      <c r="L9" s="741"/>
      <c r="M9" s="741"/>
      <c r="N9" s="36" t="s">
        <v>3</v>
      </c>
      <c r="O9" s="37"/>
      <c r="P9" s="39" t="s">
        <v>9</v>
      </c>
      <c r="Q9" s="38"/>
      <c r="R9" s="38"/>
      <c r="S9" s="38"/>
      <c r="T9" s="38"/>
      <c r="U9" s="38"/>
      <c r="V9" s="39" t="s">
        <v>10</v>
      </c>
      <c r="W9" s="38"/>
      <c r="X9" s="38"/>
      <c r="Y9" s="38"/>
      <c r="Z9" s="38"/>
      <c r="AA9" s="38"/>
      <c r="AB9" s="39" t="s">
        <v>11</v>
      </c>
      <c r="AC9" s="39"/>
      <c r="AD9" s="38"/>
      <c r="AE9" s="38"/>
      <c r="AF9" s="39" t="s">
        <v>85</v>
      </c>
      <c r="AG9" s="40"/>
      <c r="AH9" s="40"/>
      <c r="AI9" s="41"/>
      <c r="AJ9" s="745" t="s">
        <v>87</v>
      </c>
      <c r="AK9" s="746"/>
    </row>
    <row r="10" spans="1:52" ht="11.25" customHeight="1" thickBot="1">
      <c r="A10" s="766"/>
      <c r="B10" s="43"/>
      <c r="C10" s="44"/>
      <c r="D10" s="44"/>
      <c r="E10" s="44"/>
      <c r="F10" s="350">
        <v>4</v>
      </c>
      <c r="G10" s="350">
        <v>1</v>
      </c>
      <c r="H10" s="350">
        <v>7</v>
      </c>
      <c r="I10" s="350">
        <v>9</v>
      </c>
      <c r="J10" s="351">
        <v>6</v>
      </c>
      <c r="K10" s="351">
        <v>6</v>
      </c>
      <c r="L10" s="351">
        <v>1</v>
      </c>
      <c r="M10" s="351">
        <v>0</v>
      </c>
      <c r="N10" s="352">
        <v>8</v>
      </c>
      <c r="O10" s="42"/>
      <c r="P10" s="752" t="s">
        <v>510</v>
      </c>
      <c r="Q10" s="753"/>
      <c r="R10" s="753"/>
      <c r="S10" s="753"/>
      <c r="T10" s="754"/>
      <c r="U10" s="547" t="s">
        <v>511</v>
      </c>
      <c r="V10" s="548"/>
      <c r="W10" s="548"/>
      <c r="X10" s="548"/>
      <c r="Y10" s="549"/>
      <c r="Z10" s="547" t="s">
        <v>512</v>
      </c>
      <c r="AA10" s="548"/>
      <c r="AB10" s="548"/>
      <c r="AC10" s="548"/>
      <c r="AD10" s="549"/>
      <c r="AE10" s="547"/>
      <c r="AF10" s="548"/>
      <c r="AG10" s="548"/>
      <c r="AH10" s="548"/>
      <c r="AI10" s="549"/>
      <c r="AJ10" s="353">
        <v>3</v>
      </c>
      <c r="AK10" s="353">
        <v>2</v>
      </c>
      <c r="AP10" s="3"/>
      <c r="AQ10" s="2"/>
      <c r="AR10" s="2"/>
      <c r="AS10" s="2"/>
      <c r="AT10" s="2"/>
      <c r="AU10" s="2"/>
      <c r="AV10" s="2"/>
      <c r="AW10" s="2"/>
      <c r="AX10" s="2"/>
      <c r="AY10" s="2"/>
      <c r="AZ10" s="2"/>
    </row>
    <row r="11" spans="1:52" ht="16.5" customHeight="1" thickBot="1">
      <c r="A11" s="767"/>
      <c r="B11" s="747" t="s">
        <v>76</v>
      </c>
      <c r="C11" s="748"/>
      <c r="D11" s="749"/>
      <c r="E11" s="349">
        <v>10</v>
      </c>
      <c r="F11" s="750" t="s">
        <v>90</v>
      </c>
      <c r="G11" s="751"/>
      <c r="H11" s="751"/>
      <c r="I11" s="751"/>
      <c r="J11" s="104" t="s">
        <v>91</v>
      </c>
      <c r="K11" s="103"/>
      <c r="L11" s="109"/>
      <c r="M11" s="755" t="s">
        <v>92</v>
      </c>
      <c r="N11" s="756"/>
      <c r="O11" s="756"/>
      <c r="P11" s="756"/>
      <c r="Q11" s="756"/>
      <c r="R11" s="756"/>
      <c r="S11" s="756"/>
      <c r="T11" s="756"/>
      <c r="U11" s="757" t="s">
        <v>104</v>
      </c>
      <c r="V11" s="758"/>
      <c r="W11" s="758"/>
      <c r="X11" s="758"/>
      <c r="Y11" s="758"/>
      <c r="Z11" s="758"/>
      <c r="AA11" s="109"/>
      <c r="AB11" s="656" t="s">
        <v>105</v>
      </c>
      <c r="AC11" s="657"/>
      <c r="AD11" s="657"/>
      <c r="AE11" s="657"/>
      <c r="AF11" s="657"/>
      <c r="AG11" s="657"/>
      <c r="AH11" s="657"/>
      <c r="AI11" s="657"/>
      <c r="AJ11" s="658"/>
      <c r="AK11" s="97"/>
      <c r="AL11" s="96"/>
      <c r="AP11" s="3"/>
      <c r="AQ11" s="2"/>
      <c r="AR11" s="2"/>
      <c r="AS11" s="2"/>
      <c r="AT11" s="2"/>
      <c r="AU11" s="2"/>
      <c r="AV11" s="2"/>
      <c r="AW11" s="2"/>
      <c r="AX11" s="2"/>
      <c r="AY11" s="2"/>
      <c r="AZ11" s="2"/>
    </row>
    <row r="12" spans="1:52" ht="12.75">
      <c r="A12" s="738" t="s">
        <v>4</v>
      </c>
      <c r="B12" s="590" t="s">
        <v>5</v>
      </c>
      <c r="C12" s="591"/>
      <c r="D12" s="591"/>
      <c r="E12" s="591"/>
      <c r="F12" s="591"/>
      <c r="G12" s="591"/>
      <c r="H12" s="591"/>
      <c r="I12" s="591"/>
      <c r="J12" s="591"/>
      <c r="K12" s="591"/>
      <c r="L12" s="592"/>
      <c r="M12" s="48">
        <v>29</v>
      </c>
      <c r="N12" s="716">
        <f>ROUND(+'ANEXO 4'!L31,-3)</f>
        <v>2020919000</v>
      </c>
      <c r="O12" s="643"/>
      <c r="P12" s="643"/>
      <c r="Q12" s="643"/>
      <c r="R12" s="644"/>
      <c r="S12" s="762" t="s">
        <v>140</v>
      </c>
      <c r="T12" s="590" t="s">
        <v>414</v>
      </c>
      <c r="U12" s="591"/>
      <c r="V12" s="591"/>
      <c r="W12" s="591"/>
      <c r="X12" s="591"/>
      <c r="Y12" s="591"/>
      <c r="Z12" s="591"/>
      <c r="AA12" s="591"/>
      <c r="AB12" s="591"/>
      <c r="AC12" s="591"/>
      <c r="AD12" s="591"/>
      <c r="AE12" s="591"/>
      <c r="AF12" s="90">
        <v>67</v>
      </c>
      <c r="AG12" s="716">
        <v>0</v>
      </c>
      <c r="AH12" s="643"/>
      <c r="AI12" s="643"/>
      <c r="AJ12" s="643"/>
      <c r="AK12" s="644"/>
      <c r="AP12" s="2"/>
      <c r="AQ12" s="2"/>
      <c r="AR12" s="2"/>
      <c r="AS12" s="2"/>
      <c r="AT12" s="2"/>
      <c r="AU12" s="2"/>
      <c r="AV12" s="2"/>
      <c r="AW12" s="2"/>
      <c r="AX12" s="2"/>
      <c r="AY12" s="2"/>
      <c r="AZ12" s="2"/>
    </row>
    <row r="13" spans="1:52" ht="12.75">
      <c r="A13" s="738"/>
      <c r="B13" s="495" t="s">
        <v>6</v>
      </c>
      <c r="C13" s="496"/>
      <c r="D13" s="496"/>
      <c r="E13" s="496"/>
      <c r="F13" s="496"/>
      <c r="G13" s="496"/>
      <c r="H13" s="496"/>
      <c r="I13" s="496"/>
      <c r="J13" s="496"/>
      <c r="K13" s="496"/>
      <c r="L13" s="497"/>
      <c r="M13" s="46">
        <f>+M12+1</f>
        <v>30</v>
      </c>
      <c r="N13" s="768">
        <f>ROUND(+'ANEXO 5'!I16,-3)</f>
        <v>235005000</v>
      </c>
      <c r="O13" s="666"/>
      <c r="P13" s="666"/>
      <c r="Q13" s="666"/>
      <c r="R13" s="667"/>
      <c r="S13" s="763"/>
      <c r="T13" s="495" t="s">
        <v>107</v>
      </c>
      <c r="U13" s="496"/>
      <c r="V13" s="496"/>
      <c r="W13" s="496"/>
      <c r="X13" s="496"/>
      <c r="Y13" s="496"/>
      <c r="Z13" s="496"/>
      <c r="AA13" s="496"/>
      <c r="AB13" s="496"/>
      <c r="AC13" s="496"/>
      <c r="AD13" s="496"/>
      <c r="AE13" s="497"/>
      <c r="AF13" s="91">
        <f>SUM(AF12+1)</f>
        <v>68</v>
      </c>
      <c r="AG13" s="717">
        <v>0</v>
      </c>
      <c r="AH13" s="718"/>
      <c r="AI13" s="718"/>
      <c r="AJ13" s="718"/>
      <c r="AK13" s="719"/>
      <c r="AN13" s="2"/>
      <c r="AP13" s="2"/>
      <c r="AQ13" s="2"/>
      <c r="AR13" s="2"/>
      <c r="AS13" s="2"/>
      <c r="AT13" s="2"/>
      <c r="AU13" s="2"/>
      <c r="AV13" s="2"/>
      <c r="AW13" s="2"/>
      <c r="AX13" s="2"/>
      <c r="AY13" s="2"/>
      <c r="AZ13" s="2"/>
    </row>
    <row r="14" spans="1:52" ht="17.25" customHeight="1" thickBot="1">
      <c r="A14" s="739"/>
      <c r="B14" s="576" t="s">
        <v>421</v>
      </c>
      <c r="C14" s="577"/>
      <c r="D14" s="577"/>
      <c r="E14" s="577"/>
      <c r="F14" s="577"/>
      <c r="G14" s="577"/>
      <c r="H14" s="577"/>
      <c r="I14" s="577"/>
      <c r="J14" s="577"/>
      <c r="K14" s="577"/>
      <c r="L14" s="578"/>
      <c r="M14" s="88">
        <f>+M13+1</f>
        <v>31</v>
      </c>
      <c r="N14" s="640">
        <f>+N12-N13</f>
        <v>1785914000</v>
      </c>
      <c r="O14" s="641"/>
      <c r="P14" s="641"/>
      <c r="Q14" s="641"/>
      <c r="R14" s="642"/>
      <c r="S14" s="763"/>
      <c r="T14" s="489" t="s">
        <v>136</v>
      </c>
      <c r="U14" s="490"/>
      <c r="V14" s="490"/>
      <c r="W14" s="490"/>
      <c r="X14" s="490"/>
      <c r="Y14" s="490"/>
      <c r="Z14" s="490"/>
      <c r="AA14" s="490"/>
      <c r="AB14" s="490"/>
      <c r="AC14" s="490"/>
      <c r="AD14" s="490"/>
      <c r="AE14" s="491"/>
      <c r="AF14" s="93">
        <f>SUM(AF13+1)</f>
        <v>69</v>
      </c>
      <c r="AG14" s="720">
        <f>+AG12-AG13</f>
        <v>0</v>
      </c>
      <c r="AH14" s="721"/>
      <c r="AI14" s="721"/>
      <c r="AJ14" s="721"/>
      <c r="AK14" s="722"/>
      <c r="AN14" s="2"/>
      <c r="AP14" s="715"/>
      <c r="AQ14" s="715"/>
      <c r="AR14" s="715"/>
      <c r="AS14" s="715"/>
      <c r="AT14" s="715"/>
      <c r="AU14" s="715"/>
      <c r="AV14" s="715"/>
      <c r="AW14" s="715"/>
      <c r="AX14" s="715"/>
      <c r="AY14" s="715"/>
      <c r="AZ14" s="715"/>
    </row>
    <row r="15" spans="1:42" ht="17.25" customHeight="1">
      <c r="A15" s="759" t="s">
        <v>112</v>
      </c>
      <c r="B15" s="769" t="s">
        <v>106</v>
      </c>
      <c r="C15" s="770"/>
      <c r="D15" s="770"/>
      <c r="E15" s="770"/>
      <c r="F15" s="770"/>
      <c r="G15" s="770"/>
      <c r="H15" s="770"/>
      <c r="I15" s="770"/>
      <c r="J15" s="770"/>
      <c r="K15" s="770"/>
      <c r="L15" s="771"/>
      <c r="M15" s="45">
        <f>+M14+1</f>
        <v>32</v>
      </c>
      <c r="N15" s="726">
        <f>ROUND(+'ANEXO 6'!D25,-3)</f>
        <v>197167000</v>
      </c>
      <c r="O15" s="727"/>
      <c r="P15" s="727"/>
      <c r="Q15" s="727"/>
      <c r="R15" s="728"/>
      <c r="S15" s="763"/>
      <c r="T15" s="495" t="s">
        <v>137</v>
      </c>
      <c r="U15" s="496"/>
      <c r="V15" s="496"/>
      <c r="W15" s="496"/>
      <c r="X15" s="496"/>
      <c r="Y15" s="496"/>
      <c r="Z15" s="496"/>
      <c r="AA15" s="496"/>
      <c r="AB15" s="496"/>
      <c r="AC15" s="496"/>
      <c r="AD15" s="496"/>
      <c r="AE15" s="497"/>
      <c r="AF15" s="91">
        <f>SUM(AF14+1)</f>
        <v>70</v>
      </c>
      <c r="AG15" s="717">
        <f>+'ANEXO 10'!C13</f>
        <v>10450000</v>
      </c>
      <c r="AH15" s="718"/>
      <c r="AI15" s="718"/>
      <c r="AJ15" s="718"/>
      <c r="AK15" s="719"/>
      <c r="AP15" s="2"/>
    </row>
    <row r="16" spans="1:48" ht="18" customHeight="1">
      <c r="A16" s="760"/>
      <c r="B16" s="498" t="s">
        <v>107</v>
      </c>
      <c r="C16" s="499"/>
      <c r="D16" s="499"/>
      <c r="E16" s="499"/>
      <c r="F16" s="499"/>
      <c r="G16" s="499"/>
      <c r="H16" s="499"/>
      <c r="I16" s="499"/>
      <c r="J16" s="499"/>
      <c r="K16" s="499"/>
      <c r="L16" s="528"/>
      <c r="M16" s="49">
        <f>+M15+1</f>
        <v>33</v>
      </c>
      <c r="N16" s="697">
        <f>ROUND(+'ANEXO 6'!E44,-3)</f>
        <v>11066000</v>
      </c>
      <c r="O16" s="698"/>
      <c r="P16" s="698"/>
      <c r="Q16" s="698"/>
      <c r="R16" s="699"/>
      <c r="S16" s="763"/>
      <c r="T16" s="498" t="s">
        <v>138</v>
      </c>
      <c r="U16" s="499"/>
      <c r="V16" s="499"/>
      <c r="W16" s="499"/>
      <c r="X16" s="499"/>
      <c r="Y16" s="499"/>
      <c r="Z16" s="499"/>
      <c r="AA16" s="499"/>
      <c r="AB16" s="499"/>
      <c r="AC16" s="499"/>
      <c r="AD16" s="499"/>
      <c r="AE16" s="528"/>
      <c r="AF16" s="110">
        <f>SUM(AF15+1)</f>
        <v>71</v>
      </c>
      <c r="AG16" s="731">
        <f>+'ANEXO 10'!B13</f>
        <v>42000000</v>
      </c>
      <c r="AH16" s="732"/>
      <c r="AI16" s="732"/>
      <c r="AJ16" s="732"/>
      <c r="AK16" s="733"/>
      <c r="AP16" s="2"/>
      <c r="AU16" s="2"/>
      <c r="AV16" s="2"/>
    </row>
    <row r="17" spans="1:46" ht="18" customHeight="1">
      <c r="A17" s="760"/>
      <c r="B17" s="514" t="s">
        <v>108</v>
      </c>
      <c r="C17" s="515"/>
      <c r="D17" s="515"/>
      <c r="E17" s="515"/>
      <c r="F17" s="515"/>
      <c r="G17" s="515"/>
      <c r="H17" s="515"/>
      <c r="I17" s="515"/>
      <c r="J17" s="515"/>
      <c r="K17" s="515"/>
      <c r="L17" s="527"/>
      <c r="M17" s="85">
        <f>+M16+1</f>
        <v>34</v>
      </c>
      <c r="N17" s="645">
        <f>+N15-N16</f>
        <v>186101000</v>
      </c>
      <c r="O17" s="645"/>
      <c r="P17" s="645"/>
      <c r="Q17" s="645"/>
      <c r="R17" s="646"/>
      <c r="S17" s="763"/>
      <c r="T17" s="495" t="s">
        <v>424</v>
      </c>
      <c r="U17" s="496"/>
      <c r="V17" s="496"/>
      <c r="W17" s="496"/>
      <c r="X17" s="496"/>
      <c r="Y17" s="496"/>
      <c r="Z17" s="496"/>
      <c r="AA17" s="496"/>
      <c r="AB17" s="496"/>
      <c r="AC17" s="496"/>
      <c r="AD17" s="496"/>
      <c r="AE17" s="497"/>
      <c r="AF17" s="92">
        <f>SUM(AF16+1)</f>
        <v>72</v>
      </c>
      <c r="AG17" s="723">
        <v>0</v>
      </c>
      <c r="AH17" s="724"/>
      <c r="AI17" s="724"/>
      <c r="AJ17" s="724"/>
      <c r="AK17" s="725"/>
      <c r="AS17" s="2"/>
      <c r="AT17" s="69"/>
    </row>
    <row r="18" spans="1:50" ht="12.75">
      <c r="A18" s="760"/>
      <c r="B18" s="498" t="s">
        <v>109</v>
      </c>
      <c r="C18" s="499"/>
      <c r="D18" s="499"/>
      <c r="E18" s="499"/>
      <c r="F18" s="499"/>
      <c r="G18" s="499"/>
      <c r="H18" s="499"/>
      <c r="I18" s="499"/>
      <c r="J18" s="499"/>
      <c r="K18" s="499"/>
      <c r="L18" s="528"/>
      <c r="M18" s="84">
        <f aca="true" t="shared" si="0" ref="M18:M48">SUM(M17+1)</f>
        <v>35</v>
      </c>
      <c r="N18" s="672">
        <f>ROUND(+'ANEXO 6'!F80,-3)</f>
        <v>81748000</v>
      </c>
      <c r="O18" s="672"/>
      <c r="P18" s="672"/>
      <c r="Q18" s="672"/>
      <c r="R18" s="729"/>
      <c r="S18" s="763"/>
      <c r="T18" s="498" t="s">
        <v>415</v>
      </c>
      <c r="U18" s="499"/>
      <c r="V18" s="499"/>
      <c r="W18" s="499"/>
      <c r="X18" s="499"/>
      <c r="Y18" s="499"/>
      <c r="Z18" s="499"/>
      <c r="AA18" s="499"/>
      <c r="AB18" s="499"/>
      <c r="AC18" s="499"/>
      <c r="AD18" s="499"/>
      <c r="AE18" s="528"/>
      <c r="AF18" s="110">
        <f aca="true" t="shared" si="1" ref="AF18:AF48">SUM(AF17+1)</f>
        <v>73</v>
      </c>
      <c r="AG18" s="704">
        <v>0</v>
      </c>
      <c r="AH18" s="553"/>
      <c r="AI18" s="553"/>
      <c r="AJ18" s="553"/>
      <c r="AK18" s="554"/>
      <c r="AT18" s="2"/>
      <c r="AW18" s="2"/>
      <c r="AX18" s="2"/>
    </row>
    <row r="19" spans="1:52" ht="24" customHeight="1" thickBot="1">
      <c r="A19" s="760"/>
      <c r="B19" s="495" t="s">
        <v>110</v>
      </c>
      <c r="C19" s="496"/>
      <c r="D19" s="496"/>
      <c r="E19" s="496"/>
      <c r="F19" s="496"/>
      <c r="G19" s="496"/>
      <c r="H19" s="496"/>
      <c r="I19" s="496"/>
      <c r="J19" s="496"/>
      <c r="K19" s="496"/>
      <c r="L19" s="497"/>
      <c r="M19" s="114">
        <f t="shared" si="0"/>
        <v>36</v>
      </c>
      <c r="N19" s="538">
        <f>ROUND(+'ANEXO 6'!F83,-3)</f>
        <v>81940000</v>
      </c>
      <c r="O19" s="538"/>
      <c r="P19" s="538"/>
      <c r="Q19" s="538"/>
      <c r="R19" s="713"/>
      <c r="S19" s="764"/>
      <c r="T19" s="555" t="s">
        <v>139</v>
      </c>
      <c r="U19" s="556"/>
      <c r="V19" s="556"/>
      <c r="W19" s="556"/>
      <c r="X19" s="556"/>
      <c r="Y19" s="556"/>
      <c r="Z19" s="556"/>
      <c r="AA19" s="556"/>
      <c r="AB19" s="556"/>
      <c r="AC19" s="556"/>
      <c r="AD19" s="556"/>
      <c r="AE19" s="557"/>
      <c r="AF19" s="93">
        <f t="shared" si="1"/>
        <v>74</v>
      </c>
      <c r="AG19" s="550">
        <f>+AG14+AG15+AG16+AG17-AG18</f>
        <v>52450000</v>
      </c>
      <c r="AH19" s="551"/>
      <c r="AI19" s="551"/>
      <c r="AJ19" s="551"/>
      <c r="AK19" s="552"/>
      <c r="AS19" s="2"/>
      <c r="AT19" s="2"/>
      <c r="AZ19" s="2"/>
    </row>
    <row r="20" spans="1:50" ht="21.75" customHeight="1" thickBot="1">
      <c r="A20" s="761"/>
      <c r="B20" s="576" t="s">
        <v>111</v>
      </c>
      <c r="C20" s="577"/>
      <c r="D20" s="577"/>
      <c r="E20" s="577"/>
      <c r="F20" s="577"/>
      <c r="G20" s="577"/>
      <c r="H20" s="577"/>
      <c r="I20" s="577"/>
      <c r="J20" s="577"/>
      <c r="K20" s="577"/>
      <c r="L20" s="578"/>
      <c r="M20" s="105">
        <f t="shared" si="0"/>
        <v>37</v>
      </c>
      <c r="N20" s="734">
        <f>+N17-N19</f>
        <v>104161000</v>
      </c>
      <c r="O20" s="734"/>
      <c r="P20" s="734"/>
      <c r="Q20" s="734"/>
      <c r="R20" s="735"/>
      <c r="S20" s="570" t="s">
        <v>7</v>
      </c>
      <c r="T20" s="489" t="s">
        <v>141</v>
      </c>
      <c r="U20" s="490"/>
      <c r="V20" s="490"/>
      <c r="W20" s="490"/>
      <c r="X20" s="490"/>
      <c r="Y20" s="490"/>
      <c r="Z20" s="490"/>
      <c r="AA20" s="490"/>
      <c r="AB20" s="490"/>
      <c r="AC20" s="490"/>
      <c r="AD20" s="490"/>
      <c r="AE20" s="491"/>
      <c r="AF20" s="94">
        <f t="shared" si="1"/>
        <v>75</v>
      </c>
      <c r="AG20" s="711">
        <f>+N20+N25+N36+N49+AG19</f>
        <v>709470000</v>
      </c>
      <c r="AH20" s="711"/>
      <c r="AI20" s="711"/>
      <c r="AJ20" s="711"/>
      <c r="AK20" s="712"/>
      <c r="AT20" s="2"/>
      <c r="AX20" s="2"/>
    </row>
    <row r="21" spans="1:39" ht="17.25" customHeight="1" thickBot="1">
      <c r="A21" s="700" t="s">
        <v>116</v>
      </c>
      <c r="B21" s="769" t="s">
        <v>113</v>
      </c>
      <c r="C21" s="770"/>
      <c r="D21" s="770"/>
      <c r="E21" s="770"/>
      <c r="F21" s="770"/>
      <c r="G21" s="770"/>
      <c r="H21" s="770"/>
      <c r="I21" s="770"/>
      <c r="J21" s="770"/>
      <c r="K21" s="770"/>
      <c r="L21" s="771"/>
      <c r="M21" s="115">
        <f t="shared" si="0"/>
        <v>38</v>
      </c>
      <c r="N21" s="538">
        <f>ROUND(+'ANEXO 7'!D12,-3)</f>
        <v>110658000</v>
      </c>
      <c r="O21" s="538"/>
      <c r="P21" s="538"/>
      <c r="Q21" s="538"/>
      <c r="R21" s="713"/>
      <c r="S21" s="572"/>
      <c r="T21" s="694" t="s">
        <v>77</v>
      </c>
      <c r="U21" s="695"/>
      <c r="V21" s="695"/>
      <c r="W21" s="695"/>
      <c r="X21" s="695"/>
      <c r="Y21" s="695"/>
      <c r="Z21" s="695"/>
      <c r="AA21" s="695"/>
      <c r="AB21" s="695"/>
      <c r="AC21" s="695"/>
      <c r="AD21" s="695"/>
      <c r="AE21" s="696"/>
      <c r="AF21" s="92">
        <f t="shared" si="1"/>
        <v>76</v>
      </c>
      <c r="AG21" s="550">
        <f>ROUND(+'ANEXO 11'!D23,-3)</f>
        <v>67474000</v>
      </c>
      <c r="AH21" s="551"/>
      <c r="AI21" s="551"/>
      <c r="AJ21" s="551"/>
      <c r="AK21" s="552"/>
      <c r="AL21" s="4"/>
      <c r="AM21" s="4"/>
    </row>
    <row r="22" spans="1:51" ht="16.5" customHeight="1">
      <c r="A22" s="701"/>
      <c r="B22" s="498" t="s">
        <v>107</v>
      </c>
      <c r="C22" s="499"/>
      <c r="D22" s="499"/>
      <c r="E22" s="499"/>
      <c r="F22" s="499"/>
      <c r="G22" s="499"/>
      <c r="H22" s="499"/>
      <c r="I22" s="499"/>
      <c r="J22" s="499"/>
      <c r="K22" s="499"/>
      <c r="L22" s="528"/>
      <c r="M22" s="50">
        <f t="shared" si="0"/>
        <v>39</v>
      </c>
      <c r="N22" s="730">
        <f>ROUND(+'ANEXO 7'!E17,-3)</f>
        <v>13279000</v>
      </c>
      <c r="O22" s="672"/>
      <c r="P22" s="672"/>
      <c r="Q22" s="672"/>
      <c r="R22" s="729"/>
      <c r="S22" s="570" t="s">
        <v>145</v>
      </c>
      <c r="T22" s="498" t="s">
        <v>142</v>
      </c>
      <c r="U22" s="499"/>
      <c r="V22" s="499"/>
      <c r="W22" s="499"/>
      <c r="X22" s="499"/>
      <c r="Y22" s="499"/>
      <c r="Z22" s="499"/>
      <c r="AA22" s="499"/>
      <c r="AB22" s="499"/>
      <c r="AC22" s="499"/>
      <c r="AD22" s="499"/>
      <c r="AE22" s="528"/>
      <c r="AF22" s="113">
        <f t="shared" si="1"/>
        <v>77</v>
      </c>
      <c r="AG22" s="553">
        <f>+'ANEXO 14'!B13</f>
        <v>498000000</v>
      </c>
      <c r="AH22" s="553"/>
      <c r="AI22" s="553"/>
      <c r="AJ22" s="553"/>
      <c r="AK22" s="554"/>
      <c r="AY22" s="2"/>
    </row>
    <row r="23" spans="1:52" ht="12.75">
      <c r="A23" s="701"/>
      <c r="B23" s="514" t="s">
        <v>114</v>
      </c>
      <c r="C23" s="515"/>
      <c r="D23" s="515"/>
      <c r="E23" s="515"/>
      <c r="F23" s="515"/>
      <c r="G23" s="515"/>
      <c r="H23" s="515"/>
      <c r="I23" s="515"/>
      <c r="J23" s="515"/>
      <c r="K23" s="515"/>
      <c r="L23" s="527"/>
      <c r="M23" s="47">
        <f t="shared" si="0"/>
        <v>40</v>
      </c>
      <c r="N23" s="714">
        <f>+N21-N22</f>
        <v>97379000</v>
      </c>
      <c r="O23" s="561"/>
      <c r="P23" s="561"/>
      <c r="Q23" s="561"/>
      <c r="R23" s="671"/>
      <c r="S23" s="571"/>
      <c r="T23" s="495" t="s">
        <v>102</v>
      </c>
      <c r="U23" s="496"/>
      <c r="V23" s="496"/>
      <c r="W23" s="496"/>
      <c r="X23" s="496"/>
      <c r="Y23" s="496"/>
      <c r="Z23" s="496"/>
      <c r="AA23" s="496"/>
      <c r="AB23" s="496"/>
      <c r="AC23" s="496"/>
      <c r="AD23" s="496"/>
      <c r="AE23" s="497"/>
      <c r="AF23" s="92">
        <f t="shared" si="1"/>
        <v>78</v>
      </c>
      <c r="AG23" s="512">
        <f>+'ANEXO 14'!C13</f>
        <v>280000000</v>
      </c>
      <c r="AH23" s="512"/>
      <c r="AI23" s="512"/>
      <c r="AJ23" s="512"/>
      <c r="AK23" s="513"/>
      <c r="AN23" s="76"/>
      <c r="AO23" s="76"/>
      <c r="AP23" s="76"/>
      <c r="AQ23" s="76"/>
      <c r="AR23" s="76"/>
      <c r="AS23" s="76"/>
      <c r="AT23" s="76"/>
      <c r="AU23" s="76"/>
      <c r="AV23" s="76"/>
      <c r="AW23" s="76"/>
      <c r="AX23" s="76"/>
      <c r="AY23" s="77"/>
      <c r="AZ23" s="76"/>
    </row>
    <row r="24" spans="1:52" ht="12.75">
      <c r="A24" s="701"/>
      <c r="B24" s="498" t="s">
        <v>115</v>
      </c>
      <c r="C24" s="499"/>
      <c r="D24" s="499"/>
      <c r="E24" s="499"/>
      <c r="F24" s="499"/>
      <c r="G24" s="499"/>
      <c r="H24" s="499"/>
      <c r="I24" s="499"/>
      <c r="J24" s="499"/>
      <c r="K24" s="499"/>
      <c r="L24" s="528"/>
      <c r="M24" s="50">
        <f t="shared" si="0"/>
        <v>41</v>
      </c>
      <c r="N24" s="730">
        <f>ROUND(+'ANEXO 7'!F27,-3)</f>
        <v>97379000</v>
      </c>
      <c r="O24" s="672"/>
      <c r="P24" s="672"/>
      <c r="Q24" s="672"/>
      <c r="R24" s="729"/>
      <c r="S24" s="571"/>
      <c r="T24" s="498" t="s">
        <v>143</v>
      </c>
      <c r="U24" s="499"/>
      <c r="V24" s="499"/>
      <c r="W24" s="499"/>
      <c r="X24" s="499"/>
      <c r="Y24" s="499"/>
      <c r="Z24" s="499"/>
      <c r="AA24" s="499"/>
      <c r="AB24" s="499"/>
      <c r="AC24" s="499"/>
      <c r="AD24" s="499"/>
      <c r="AE24" s="528"/>
      <c r="AF24" s="110">
        <f t="shared" si="1"/>
        <v>79</v>
      </c>
      <c r="AG24" s="553">
        <f>+'ANEXO 14'!D13</f>
        <v>20000000</v>
      </c>
      <c r="AH24" s="553"/>
      <c r="AI24" s="553"/>
      <c r="AJ24" s="553"/>
      <c r="AK24" s="554"/>
      <c r="AN24" s="77"/>
      <c r="AO24" s="77"/>
      <c r="AP24" s="77"/>
      <c r="AQ24" s="77"/>
      <c r="AR24" s="77"/>
      <c r="AS24" s="77"/>
      <c r="AT24" s="77"/>
      <c r="AU24" s="77"/>
      <c r="AV24" s="77"/>
      <c r="AW24" s="77"/>
      <c r="AX24" s="77"/>
      <c r="AY24" s="77"/>
      <c r="AZ24" s="77"/>
    </row>
    <row r="25" spans="1:52" ht="13.5" thickBot="1">
      <c r="A25" s="702"/>
      <c r="B25" s="555" t="s">
        <v>117</v>
      </c>
      <c r="C25" s="556"/>
      <c r="D25" s="556"/>
      <c r="E25" s="556"/>
      <c r="F25" s="556"/>
      <c r="G25" s="556"/>
      <c r="H25" s="556"/>
      <c r="I25" s="556"/>
      <c r="J25" s="556"/>
      <c r="K25" s="556"/>
      <c r="L25" s="557"/>
      <c r="M25" s="106">
        <f t="shared" si="0"/>
        <v>42</v>
      </c>
      <c r="N25" s="645">
        <f>+N23-N24</f>
        <v>0</v>
      </c>
      <c r="O25" s="645"/>
      <c r="P25" s="645"/>
      <c r="Q25" s="645"/>
      <c r="R25" s="646"/>
      <c r="S25" s="572"/>
      <c r="T25" s="555" t="s">
        <v>144</v>
      </c>
      <c r="U25" s="556"/>
      <c r="V25" s="556"/>
      <c r="W25" s="556"/>
      <c r="X25" s="556"/>
      <c r="Y25" s="556"/>
      <c r="Z25" s="556"/>
      <c r="AA25" s="556"/>
      <c r="AB25" s="556"/>
      <c r="AC25" s="556"/>
      <c r="AD25" s="556"/>
      <c r="AE25" s="557"/>
      <c r="AF25" s="111">
        <f t="shared" si="1"/>
        <v>80</v>
      </c>
      <c r="AG25" s="550">
        <f>+AG22-AG23-AG24</f>
        <v>198000000</v>
      </c>
      <c r="AH25" s="551"/>
      <c r="AI25" s="551"/>
      <c r="AJ25" s="551"/>
      <c r="AK25" s="552"/>
      <c r="AL25" s="70"/>
      <c r="AM25" s="70"/>
      <c r="AN25" s="77"/>
      <c r="AO25" s="77"/>
      <c r="AP25" s="77"/>
      <c r="AQ25" s="77"/>
      <c r="AR25" s="77"/>
      <c r="AS25" s="77"/>
      <c r="AT25" s="77"/>
      <c r="AU25" s="77"/>
      <c r="AV25" s="77"/>
      <c r="AW25" s="77"/>
      <c r="AX25" s="77"/>
      <c r="AY25" s="77"/>
      <c r="AZ25" s="77"/>
    </row>
    <row r="26" spans="1:52" ht="12.75">
      <c r="A26" s="783" t="s">
        <v>126</v>
      </c>
      <c r="B26" s="498" t="s">
        <v>118</v>
      </c>
      <c r="C26" s="499"/>
      <c r="D26" s="499"/>
      <c r="E26" s="499"/>
      <c r="F26" s="499"/>
      <c r="G26" s="499"/>
      <c r="H26" s="499"/>
      <c r="I26" s="499"/>
      <c r="J26" s="499"/>
      <c r="K26" s="499"/>
      <c r="L26" s="528"/>
      <c r="M26" s="90">
        <f t="shared" si="0"/>
        <v>43</v>
      </c>
      <c r="N26" s="643">
        <f>ROUND(+'ANEXO 8'!D16,-3)</f>
        <v>36750000</v>
      </c>
      <c r="O26" s="643"/>
      <c r="P26" s="643"/>
      <c r="Q26" s="643"/>
      <c r="R26" s="644"/>
      <c r="S26" s="570" t="s">
        <v>96</v>
      </c>
      <c r="T26" s="777" t="s">
        <v>146</v>
      </c>
      <c r="U26" s="778"/>
      <c r="V26" s="498" t="s">
        <v>416</v>
      </c>
      <c r="W26" s="499"/>
      <c r="X26" s="499"/>
      <c r="Y26" s="499"/>
      <c r="Z26" s="499"/>
      <c r="AA26" s="499"/>
      <c r="AB26" s="499"/>
      <c r="AC26" s="499"/>
      <c r="AD26" s="499"/>
      <c r="AE26" s="499"/>
      <c r="AF26" s="113">
        <f t="shared" si="1"/>
        <v>81</v>
      </c>
      <c r="AG26" s="553">
        <f>+'ANEXO 7'!F32</f>
        <v>17696000</v>
      </c>
      <c r="AH26" s="553"/>
      <c r="AI26" s="553"/>
      <c r="AJ26" s="553"/>
      <c r="AK26" s="554"/>
      <c r="AN26" s="77"/>
      <c r="AO26" s="77"/>
      <c r="AP26" s="77"/>
      <c r="AQ26" s="77"/>
      <c r="AR26" s="77"/>
      <c r="AS26" s="77"/>
      <c r="AT26" s="77"/>
      <c r="AU26" s="77"/>
      <c r="AV26" s="77"/>
      <c r="AW26" s="77"/>
      <c r="AX26" s="77"/>
      <c r="AY26" s="77"/>
      <c r="AZ26" s="77"/>
    </row>
    <row r="27" spans="1:52" ht="12.75">
      <c r="A27" s="784"/>
      <c r="B27" s="495" t="s">
        <v>107</v>
      </c>
      <c r="C27" s="496"/>
      <c r="D27" s="496"/>
      <c r="E27" s="496"/>
      <c r="F27" s="496"/>
      <c r="G27" s="496"/>
      <c r="H27" s="496"/>
      <c r="I27" s="496"/>
      <c r="J27" s="496"/>
      <c r="K27" s="496"/>
      <c r="L27" s="497"/>
      <c r="M27" s="85">
        <f t="shared" si="0"/>
        <v>44</v>
      </c>
      <c r="N27" s="666">
        <f>ROUND(+'ANEXO 8'!E23,-3)</f>
        <v>10024000</v>
      </c>
      <c r="O27" s="666"/>
      <c r="P27" s="666"/>
      <c r="Q27" s="666"/>
      <c r="R27" s="667"/>
      <c r="S27" s="571"/>
      <c r="T27" s="779"/>
      <c r="U27" s="780"/>
      <c r="V27" s="495" t="s">
        <v>417</v>
      </c>
      <c r="W27" s="496"/>
      <c r="X27" s="496"/>
      <c r="Y27" s="496"/>
      <c r="Z27" s="496"/>
      <c r="AA27" s="496"/>
      <c r="AB27" s="496"/>
      <c r="AC27" s="496"/>
      <c r="AD27" s="496"/>
      <c r="AE27" s="496"/>
      <c r="AF27" s="92">
        <f t="shared" si="1"/>
        <v>82</v>
      </c>
      <c r="AG27" s="512">
        <f>+'ANEXO 9'!F72</f>
        <v>171859000</v>
      </c>
      <c r="AH27" s="512"/>
      <c r="AI27" s="512"/>
      <c r="AJ27" s="512"/>
      <c r="AK27" s="513"/>
      <c r="AN27" s="77"/>
      <c r="AO27" s="77"/>
      <c r="AP27" s="77"/>
      <c r="AQ27" s="77"/>
      <c r="AR27" s="77"/>
      <c r="AS27" s="77"/>
      <c r="AT27" s="77"/>
      <c r="AU27" s="77"/>
      <c r="AV27" s="77"/>
      <c r="AW27" s="77"/>
      <c r="AX27" s="77"/>
      <c r="AY27" s="77"/>
      <c r="AZ27" s="77"/>
    </row>
    <row r="28" spans="1:52" ht="17.25" customHeight="1">
      <c r="A28" s="784"/>
      <c r="B28" s="498" t="s">
        <v>119</v>
      </c>
      <c r="C28" s="499"/>
      <c r="D28" s="499"/>
      <c r="E28" s="499"/>
      <c r="F28" s="499"/>
      <c r="G28" s="499"/>
      <c r="H28" s="499"/>
      <c r="I28" s="499"/>
      <c r="J28" s="499"/>
      <c r="K28" s="499"/>
      <c r="L28" s="528"/>
      <c r="M28" s="49">
        <f t="shared" si="0"/>
        <v>45</v>
      </c>
      <c r="N28" s="697">
        <f>+'ANEXO 8'!E31</f>
        <v>5000000</v>
      </c>
      <c r="O28" s="698"/>
      <c r="P28" s="698"/>
      <c r="Q28" s="698"/>
      <c r="R28" s="699"/>
      <c r="S28" s="571"/>
      <c r="T28" s="779"/>
      <c r="U28" s="780"/>
      <c r="V28" s="498" t="s">
        <v>418</v>
      </c>
      <c r="W28" s="499"/>
      <c r="X28" s="499"/>
      <c r="Y28" s="499"/>
      <c r="Z28" s="499"/>
      <c r="AA28" s="499"/>
      <c r="AB28" s="499"/>
      <c r="AC28" s="499"/>
      <c r="AD28" s="499"/>
      <c r="AE28" s="499"/>
      <c r="AF28" s="110">
        <f t="shared" si="1"/>
        <v>83</v>
      </c>
      <c r="AG28" s="704">
        <v>0</v>
      </c>
      <c r="AH28" s="553"/>
      <c r="AI28" s="553"/>
      <c r="AJ28" s="553"/>
      <c r="AK28" s="554"/>
      <c r="AN28" s="77"/>
      <c r="AO28" s="77"/>
      <c r="AP28" s="77"/>
      <c r="AQ28" s="77"/>
      <c r="AR28" s="77"/>
      <c r="AS28" s="77"/>
      <c r="AT28" s="77"/>
      <c r="AU28" s="77"/>
      <c r="AV28" s="77"/>
      <c r="AW28" s="77"/>
      <c r="AX28" s="77"/>
      <c r="AY28" s="77"/>
      <c r="AZ28" s="77"/>
    </row>
    <row r="29" spans="1:52" ht="15.75" customHeight="1">
      <c r="A29" s="784"/>
      <c r="B29" s="514" t="s">
        <v>120</v>
      </c>
      <c r="C29" s="515"/>
      <c r="D29" s="515"/>
      <c r="E29" s="515"/>
      <c r="F29" s="515"/>
      <c r="G29" s="515"/>
      <c r="H29" s="515"/>
      <c r="I29" s="515"/>
      <c r="J29" s="515"/>
      <c r="K29" s="515"/>
      <c r="L29" s="527"/>
      <c r="M29" s="86">
        <f>SUM(M28+1)</f>
        <v>46</v>
      </c>
      <c r="N29" s="561">
        <f>+N26-N27-N28</f>
        <v>21726000</v>
      </c>
      <c r="O29" s="562"/>
      <c r="P29" s="562"/>
      <c r="Q29" s="562"/>
      <c r="R29" s="563"/>
      <c r="S29" s="571"/>
      <c r="T29" s="779"/>
      <c r="U29" s="780"/>
      <c r="V29" s="495" t="s">
        <v>419</v>
      </c>
      <c r="W29" s="496"/>
      <c r="X29" s="496"/>
      <c r="Y29" s="496"/>
      <c r="Z29" s="496"/>
      <c r="AA29" s="496"/>
      <c r="AB29" s="496"/>
      <c r="AC29" s="496"/>
      <c r="AD29" s="496"/>
      <c r="AE29" s="496"/>
      <c r="AF29" s="92">
        <f t="shared" si="1"/>
        <v>84</v>
      </c>
      <c r="AG29" s="511">
        <f>+'ANEXO 10'!D20</f>
        <v>0</v>
      </c>
      <c r="AH29" s="512"/>
      <c r="AI29" s="512"/>
      <c r="AJ29" s="512"/>
      <c r="AK29" s="513"/>
      <c r="AN29" s="77"/>
      <c r="AO29" s="77"/>
      <c r="AP29" s="77"/>
      <c r="AQ29" s="77"/>
      <c r="AR29" s="77"/>
      <c r="AS29" s="77"/>
      <c r="AT29" s="77"/>
      <c r="AU29" s="77"/>
      <c r="AV29" s="77"/>
      <c r="AW29" s="77"/>
      <c r="AX29" s="77"/>
      <c r="AY29" s="77"/>
      <c r="AZ29" s="77"/>
    </row>
    <row r="30" spans="1:52" ht="21" customHeight="1" thickBot="1">
      <c r="A30" s="784"/>
      <c r="B30" s="498" t="s">
        <v>422</v>
      </c>
      <c r="C30" s="499"/>
      <c r="D30" s="499"/>
      <c r="E30" s="499"/>
      <c r="F30" s="499"/>
      <c r="G30" s="499"/>
      <c r="H30" s="499"/>
      <c r="I30" s="499"/>
      <c r="J30" s="499"/>
      <c r="K30" s="499"/>
      <c r="L30" s="528"/>
      <c r="M30" s="89">
        <f t="shared" si="0"/>
        <v>47</v>
      </c>
      <c r="N30" s="542">
        <v>0</v>
      </c>
      <c r="O30" s="542"/>
      <c r="P30" s="542"/>
      <c r="Q30" s="542"/>
      <c r="R30" s="543"/>
      <c r="S30" s="571"/>
      <c r="T30" s="781"/>
      <c r="U30" s="782"/>
      <c r="V30" s="558" t="s">
        <v>420</v>
      </c>
      <c r="W30" s="559"/>
      <c r="X30" s="559"/>
      <c r="Y30" s="559"/>
      <c r="Z30" s="559"/>
      <c r="AA30" s="559"/>
      <c r="AB30" s="559"/>
      <c r="AC30" s="559"/>
      <c r="AD30" s="559"/>
      <c r="AE30" s="560"/>
      <c r="AF30" s="110">
        <f t="shared" si="1"/>
        <v>85</v>
      </c>
      <c r="AG30" s="533">
        <f>+'ANEXO 10'!D30</f>
        <v>15108999.999999998</v>
      </c>
      <c r="AH30" s="534"/>
      <c r="AI30" s="534"/>
      <c r="AJ30" s="534"/>
      <c r="AK30" s="535"/>
      <c r="AN30" s="77"/>
      <c r="AO30" s="77"/>
      <c r="AP30" s="77"/>
      <c r="AQ30" s="77"/>
      <c r="AR30" s="77"/>
      <c r="AS30" s="77"/>
      <c r="AT30" s="77"/>
      <c r="AU30" s="77"/>
      <c r="AV30" s="77"/>
      <c r="AW30" s="77"/>
      <c r="AX30" s="77"/>
      <c r="AY30" s="77"/>
      <c r="AZ30" s="77"/>
    </row>
    <row r="31" spans="1:52" ht="20.25" customHeight="1">
      <c r="A31" s="784"/>
      <c r="B31" s="514" t="s">
        <v>121</v>
      </c>
      <c r="C31" s="515"/>
      <c r="D31" s="515"/>
      <c r="E31" s="515"/>
      <c r="F31" s="515"/>
      <c r="G31" s="515"/>
      <c r="H31" s="515"/>
      <c r="I31" s="515"/>
      <c r="J31" s="515"/>
      <c r="K31" s="515"/>
      <c r="L31" s="527"/>
      <c r="M31" s="86">
        <f t="shared" si="0"/>
        <v>48</v>
      </c>
      <c r="N31" s="562">
        <v>0</v>
      </c>
      <c r="O31" s="562"/>
      <c r="P31" s="562"/>
      <c r="Q31" s="562"/>
      <c r="R31" s="563"/>
      <c r="S31" s="571"/>
      <c r="T31" s="514" t="s">
        <v>147</v>
      </c>
      <c r="U31" s="515"/>
      <c r="V31" s="515"/>
      <c r="W31" s="515"/>
      <c r="X31" s="515"/>
      <c r="Y31" s="515"/>
      <c r="Z31" s="515"/>
      <c r="AA31" s="515"/>
      <c r="AB31" s="515"/>
      <c r="AC31" s="515"/>
      <c r="AD31" s="515"/>
      <c r="AE31" s="527"/>
      <c r="AF31" s="112">
        <f t="shared" si="1"/>
        <v>86</v>
      </c>
      <c r="AG31" s="708">
        <f>+AG26+AG27+AG28+AG29+AG30</f>
        <v>204664000</v>
      </c>
      <c r="AH31" s="709"/>
      <c r="AI31" s="709"/>
      <c r="AJ31" s="709"/>
      <c r="AK31" s="710"/>
      <c r="AN31" s="77"/>
      <c r="AO31" s="77"/>
      <c r="AP31" s="77"/>
      <c r="AQ31" s="77"/>
      <c r="AR31" s="77"/>
      <c r="AS31" s="77"/>
      <c r="AT31" s="77"/>
      <c r="AU31" s="77"/>
      <c r="AV31" s="77"/>
      <c r="AW31" s="77"/>
      <c r="AX31" s="77"/>
      <c r="AY31" s="77"/>
      <c r="AZ31" s="77"/>
    </row>
    <row r="32" spans="1:52" ht="20.25" customHeight="1">
      <c r="A32" s="784"/>
      <c r="B32" s="489" t="s">
        <v>122</v>
      </c>
      <c r="C32" s="490"/>
      <c r="D32" s="490"/>
      <c r="E32" s="490"/>
      <c r="F32" s="490"/>
      <c r="G32" s="490"/>
      <c r="H32" s="490"/>
      <c r="I32" s="490"/>
      <c r="J32" s="490"/>
      <c r="K32" s="490"/>
      <c r="L32" s="491"/>
      <c r="M32" s="87">
        <f t="shared" si="0"/>
        <v>49</v>
      </c>
      <c r="N32" s="565">
        <v>0</v>
      </c>
      <c r="O32" s="565"/>
      <c r="P32" s="565"/>
      <c r="Q32" s="565"/>
      <c r="R32" s="566"/>
      <c r="S32" s="571"/>
      <c r="T32" s="498" t="s">
        <v>148</v>
      </c>
      <c r="U32" s="499"/>
      <c r="V32" s="499"/>
      <c r="W32" s="499"/>
      <c r="X32" s="499"/>
      <c r="Y32" s="499"/>
      <c r="Z32" s="499"/>
      <c r="AA32" s="499"/>
      <c r="AB32" s="499"/>
      <c r="AC32" s="499"/>
      <c r="AD32" s="499"/>
      <c r="AE32" s="528"/>
      <c r="AF32" s="110">
        <f t="shared" si="1"/>
        <v>87</v>
      </c>
      <c r="AG32" s="704">
        <v>0</v>
      </c>
      <c r="AH32" s="553"/>
      <c r="AI32" s="553"/>
      <c r="AJ32" s="553"/>
      <c r="AK32" s="554"/>
      <c r="AN32" s="77"/>
      <c r="AO32" s="77"/>
      <c r="AP32" s="77"/>
      <c r="AQ32" s="77"/>
      <c r="AR32" s="77"/>
      <c r="AS32" s="77"/>
      <c r="AT32" s="77"/>
      <c r="AU32" s="77"/>
      <c r="AV32" s="77"/>
      <c r="AW32" s="77"/>
      <c r="AX32" s="77"/>
      <c r="AY32" s="77"/>
      <c r="AZ32" s="77"/>
    </row>
    <row r="33" spans="1:52" ht="18.75" customHeight="1" thickBot="1">
      <c r="A33" s="784"/>
      <c r="B33" s="514" t="s">
        <v>129</v>
      </c>
      <c r="C33" s="515"/>
      <c r="D33" s="515"/>
      <c r="E33" s="515"/>
      <c r="F33" s="515"/>
      <c r="G33" s="515"/>
      <c r="H33" s="515"/>
      <c r="I33" s="515"/>
      <c r="J33" s="515"/>
      <c r="K33" s="515"/>
      <c r="L33" s="527"/>
      <c r="M33" s="86">
        <f t="shared" si="0"/>
        <v>50</v>
      </c>
      <c r="N33" s="561">
        <f>+N26+N30-N27-N28-N32</f>
        <v>21726000</v>
      </c>
      <c r="O33" s="562"/>
      <c r="P33" s="562"/>
      <c r="Q33" s="562"/>
      <c r="R33" s="563"/>
      <c r="S33" s="571"/>
      <c r="T33" s="573" t="s">
        <v>149</v>
      </c>
      <c r="U33" s="574"/>
      <c r="V33" s="574"/>
      <c r="W33" s="574"/>
      <c r="X33" s="574"/>
      <c r="Y33" s="574"/>
      <c r="Z33" s="574"/>
      <c r="AA33" s="574"/>
      <c r="AB33" s="574"/>
      <c r="AC33" s="574"/>
      <c r="AD33" s="574"/>
      <c r="AE33" s="575"/>
      <c r="AF33" s="111">
        <f t="shared" si="1"/>
        <v>88</v>
      </c>
      <c r="AG33" s="705">
        <f>MAX(AG31:AK32)</f>
        <v>204664000</v>
      </c>
      <c r="AH33" s="706"/>
      <c r="AI33" s="706"/>
      <c r="AJ33" s="706"/>
      <c r="AK33" s="707"/>
      <c r="AN33" s="77"/>
      <c r="AO33" s="77"/>
      <c r="AP33" s="77"/>
      <c r="AQ33" s="77"/>
      <c r="AR33" s="77"/>
      <c r="AS33" s="77"/>
      <c r="AT33" s="77"/>
      <c r="AU33" s="77"/>
      <c r="AV33" s="77"/>
      <c r="AW33" s="77"/>
      <c r="AX33" s="77"/>
      <c r="AY33" s="77"/>
      <c r="AZ33" s="77"/>
    </row>
    <row r="34" spans="1:52" ht="18" customHeight="1">
      <c r="A34" s="784"/>
      <c r="B34" s="489" t="s">
        <v>123</v>
      </c>
      <c r="C34" s="490"/>
      <c r="D34" s="490"/>
      <c r="E34" s="490"/>
      <c r="F34" s="490"/>
      <c r="G34" s="490"/>
      <c r="H34" s="490"/>
      <c r="I34" s="490"/>
      <c r="J34" s="490"/>
      <c r="K34" s="490"/>
      <c r="L34" s="491"/>
      <c r="M34" s="87">
        <f t="shared" si="0"/>
        <v>51</v>
      </c>
      <c r="N34" s="564">
        <f>IF((N27+N28+N32-N26-N30)&gt;0,(N27+N28+N32-N26-N30),0)</f>
        <v>0</v>
      </c>
      <c r="O34" s="565"/>
      <c r="P34" s="565"/>
      <c r="Q34" s="565"/>
      <c r="R34" s="566"/>
      <c r="S34" s="571"/>
      <c r="T34" s="516" t="s">
        <v>94</v>
      </c>
      <c r="U34" s="498" t="s">
        <v>150</v>
      </c>
      <c r="V34" s="499"/>
      <c r="W34" s="499"/>
      <c r="X34" s="499"/>
      <c r="Y34" s="499"/>
      <c r="Z34" s="499"/>
      <c r="AA34" s="499"/>
      <c r="AB34" s="499"/>
      <c r="AC34" s="499"/>
      <c r="AD34" s="499"/>
      <c r="AE34" s="499"/>
      <c r="AF34" s="113">
        <f t="shared" si="1"/>
        <v>89</v>
      </c>
      <c r="AG34" s="500">
        <f>+INFORMACION!C62</f>
        <v>8400000</v>
      </c>
      <c r="AH34" s="501"/>
      <c r="AI34" s="501"/>
      <c r="AJ34" s="501"/>
      <c r="AK34" s="502"/>
      <c r="AM34" s="2"/>
      <c r="AN34" s="77"/>
      <c r="AO34" s="77"/>
      <c r="AP34" s="77"/>
      <c r="AQ34" s="77"/>
      <c r="AR34" s="77"/>
      <c r="AS34" s="77"/>
      <c r="AT34" s="77"/>
      <c r="AU34" s="77"/>
      <c r="AV34" s="77"/>
      <c r="AW34" s="77"/>
      <c r="AX34" s="77"/>
      <c r="AY34" s="77"/>
      <c r="AZ34" s="77"/>
    </row>
    <row r="35" spans="1:52" ht="12.75">
      <c r="A35" s="784"/>
      <c r="B35" s="495" t="s">
        <v>124</v>
      </c>
      <c r="C35" s="496"/>
      <c r="D35" s="496"/>
      <c r="E35" s="496"/>
      <c r="F35" s="496"/>
      <c r="G35" s="496"/>
      <c r="H35" s="496"/>
      <c r="I35" s="496"/>
      <c r="J35" s="496"/>
      <c r="K35" s="496"/>
      <c r="L35" s="497"/>
      <c r="M35" s="85">
        <f t="shared" si="0"/>
        <v>52</v>
      </c>
      <c r="N35" s="539">
        <v>0</v>
      </c>
      <c r="O35" s="539"/>
      <c r="P35" s="539"/>
      <c r="Q35" s="539"/>
      <c r="R35" s="540"/>
      <c r="S35" s="571"/>
      <c r="T35" s="516"/>
      <c r="U35" s="495" t="s">
        <v>151</v>
      </c>
      <c r="V35" s="496"/>
      <c r="W35" s="496"/>
      <c r="X35" s="496"/>
      <c r="Y35" s="496"/>
      <c r="Z35" s="496"/>
      <c r="AA35" s="496"/>
      <c r="AB35" s="496"/>
      <c r="AC35" s="496"/>
      <c r="AD35" s="496"/>
      <c r="AE35" s="497"/>
      <c r="AF35" s="92">
        <f t="shared" si="1"/>
        <v>90</v>
      </c>
      <c r="AG35" s="511">
        <f>+'ANEXO 13'!D11</f>
        <v>300000</v>
      </c>
      <c r="AH35" s="512"/>
      <c r="AI35" s="512"/>
      <c r="AJ35" s="512"/>
      <c r="AK35" s="513"/>
      <c r="AN35" s="77"/>
      <c r="AO35" s="77"/>
      <c r="AP35" s="77"/>
      <c r="AQ35" s="77"/>
      <c r="AR35" s="77"/>
      <c r="AS35" s="77"/>
      <c r="AT35" s="77"/>
      <c r="AU35" s="77"/>
      <c r="AV35" s="77"/>
      <c r="AW35" s="77"/>
      <c r="AX35" s="77"/>
      <c r="AY35" s="77"/>
      <c r="AZ35" s="77"/>
    </row>
    <row r="36" spans="1:52" ht="21" customHeight="1" thickBot="1">
      <c r="A36" s="785"/>
      <c r="B36" s="576" t="s">
        <v>125</v>
      </c>
      <c r="C36" s="577"/>
      <c r="D36" s="577"/>
      <c r="E36" s="577"/>
      <c r="F36" s="577"/>
      <c r="G36" s="577"/>
      <c r="H36" s="577"/>
      <c r="I36" s="577"/>
      <c r="J36" s="577"/>
      <c r="K36" s="577"/>
      <c r="L36" s="578"/>
      <c r="M36" s="107">
        <f t="shared" si="0"/>
        <v>53</v>
      </c>
      <c r="N36" s="536">
        <f>+N33-N35</f>
        <v>21726000</v>
      </c>
      <c r="O36" s="536"/>
      <c r="P36" s="536"/>
      <c r="Q36" s="536"/>
      <c r="R36" s="537"/>
      <c r="S36" s="571"/>
      <c r="T36" s="516"/>
      <c r="U36" s="498" t="s">
        <v>95</v>
      </c>
      <c r="V36" s="499"/>
      <c r="W36" s="499"/>
      <c r="X36" s="499"/>
      <c r="Y36" s="499"/>
      <c r="Z36" s="499"/>
      <c r="AA36" s="499"/>
      <c r="AB36" s="499"/>
      <c r="AC36" s="499"/>
      <c r="AD36" s="499"/>
      <c r="AE36" s="499"/>
      <c r="AF36" s="110">
        <f t="shared" si="1"/>
        <v>91</v>
      </c>
      <c r="AG36" s="544">
        <v>0</v>
      </c>
      <c r="AH36" s="545"/>
      <c r="AI36" s="545"/>
      <c r="AJ36" s="545"/>
      <c r="AK36" s="546"/>
      <c r="AM36" s="2"/>
      <c r="AN36" s="77"/>
      <c r="AO36" s="77"/>
      <c r="AP36" s="77"/>
      <c r="AQ36" s="77"/>
      <c r="AR36" s="77"/>
      <c r="AS36" s="77"/>
      <c r="AT36" s="77"/>
      <c r="AU36" s="77"/>
      <c r="AV36" s="77"/>
      <c r="AW36" s="77"/>
      <c r="AX36" s="77"/>
      <c r="AY36" s="77"/>
      <c r="AZ36" s="77"/>
    </row>
    <row r="37" spans="1:52" ht="13.5" thickBot="1">
      <c r="A37" s="774" t="s">
        <v>135</v>
      </c>
      <c r="B37" s="495" t="s">
        <v>368</v>
      </c>
      <c r="C37" s="496"/>
      <c r="D37" s="496"/>
      <c r="E37" s="496"/>
      <c r="F37" s="496"/>
      <c r="G37" s="496"/>
      <c r="H37" s="496"/>
      <c r="I37" s="496"/>
      <c r="J37" s="496"/>
      <c r="K37" s="496"/>
      <c r="L37" s="497"/>
      <c r="M37" s="85">
        <f t="shared" si="0"/>
        <v>54</v>
      </c>
      <c r="N37" s="538">
        <f>+'ANEXO 9'!D18</f>
        <v>1200000000</v>
      </c>
      <c r="O37" s="539"/>
      <c r="P37" s="539"/>
      <c r="Q37" s="539"/>
      <c r="R37" s="540"/>
      <c r="S37" s="571"/>
      <c r="T37" s="516"/>
      <c r="U37" s="514" t="s">
        <v>152</v>
      </c>
      <c r="V37" s="515"/>
      <c r="W37" s="515"/>
      <c r="X37" s="515"/>
      <c r="Y37" s="515"/>
      <c r="Z37" s="515"/>
      <c r="AA37" s="515"/>
      <c r="AB37" s="515"/>
      <c r="AC37" s="515"/>
      <c r="AD37" s="515"/>
      <c r="AE37" s="102"/>
      <c r="AF37" s="111">
        <f t="shared" si="1"/>
        <v>92</v>
      </c>
      <c r="AG37" s="503">
        <f>SUM(AG34:AK36)</f>
        <v>8700000</v>
      </c>
      <c r="AH37" s="504"/>
      <c r="AI37" s="504"/>
      <c r="AJ37" s="504"/>
      <c r="AK37" s="505"/>
      <c r="AN37" s="77"/>
      <c r="AO37" s="77"/>
      <c r="AP37" s="77"/>
      <c r="AQ37" s="77"/>
      <c r="AR37" s="77"/>
      <c r="AS37" s="77"/>
      <c r="AT37" s="77"/>
      <c r="AU37" s="77"/>
      <c r="AV37" s="77"/>
      <c r="AW37" s="77"/>
      <c r="AX37" s="77"/>
      <c r="AY37" s="77"/>
      <c r="AZ37" s="77"/>
    </row>
    <row r="38" spans="1:52" ht="12.75">
      <c r="A38" s="775"/>
      <c r="B38" s="498" t="s">
        <v>127</v>
      </c>
      <c r="C38" s="499"/>
      <c r="D38" s="499"/>
      <c r="E38" s="499"/>
      <c r="F38" s="499"/>
      <c r="G38" s="499"/>
      <c r="H38" s="499"/>
      <c r="I38" s="499"/>
      <c r="J38" s="499"/>
      <c r="K38" s="499"/>
      <c r="L38" s="528"/>
      <c r="M38" s="49">
        <f t="shared" si="0"/>
        <v>55</v>
      </c>
      <c r="N38" s="541">
        <v>0</v>
      </c>
      <c r="O38" s="542"/>
      <c r="P38" s="542"/>
      <c r="Q38" s="542"/>
      <c r="R38" s="543"/>
      <c r="S38" s="571"/>
      <c r="T38" s="567" t="s">
        <v>153</v>
      </c>
      <c r="U38" s="568"/>
      <c r="V38" s="568"/>
      <c r="W38" s="568"/>
      <c r="X38" s="568"/>
      <c r="Y38" s="568"/>
      <c r="Z38" s="568"/>
      <c r="AA38" s="568"/>
      <c r="AB38" s="568"/>
      <c r="AC38" s="568"/>
      <c r="AD38" s="568"/>
      <c r="AE38" s="569"/>
      <c r="AF38" s="94">
        <f t="shared" si="1"/>
        <v>93</v>
      </c>
      <c r="AG38" s="524">
        <f>+AG33-AG37</f>
        <v>195964000</v>
      </c>
      <c r="AH38" s="525"/>
      <c r="AI38" s="525"/>
      <c r="AJ38" s="525"/>
      <c r="AK38" s="526"/>
      <c r="AN38" s="77"/>
      <c r="AO38" s="77"/>
      <c r="AP38" s="77"/>
      <c r="AQ38" s="77"/>
      <c r="AR38" s="77"/>
      <c r="AS38" s="77"/>
      <c r="AT38" s="77"/>
      <c r="AU38" s="77"/>
      <c r="AV38" s="77"/>
      <c r="AW38" s="77"/>
      <c r="AX38" s="77"/>
      <c r="AY38" s="77"/>
      <c r="AZ38" s="77"/>
    </row>
    <row r="39" spans="1:52" ht="12.75">
      <c r="A39" s="775"/>
      <c r="B39" s="495" t="s">
        <v>107</v>
      </c>
      <c r="C39" s="496"/>
      <c r="D39" s="496"/>
      <c r="E39" s="496"/>
      <c r="F39" s="496"/>
      <c r="G39" s="496"/>
      <c r="H39" s="496"/>
      <c r="I39" s="496"/>
      <c r="J39" s="496"/>
      <c r="K39" s="496"/>
      <c r="L39" s="497"/>
      <c r="M39" s="85">
        <f t="shared" si="0"/>
        <v>56</v>
      </c>
      <c r="N39" s="538">
        <f>+'ANEXO 9'!E25</f>
        <v>60000000</v>
      </c>
      <c r="O39" s="539"/>
      <c r="P39" s="539"/>
      <c r="Q39" s="539"/>
      <c r="R39" s="540"/>
      <c r="S39" s="571"/>
      <c r="T39" s="495" t="s">
        <v>103</v>
      </c>
      <c r="U39" s="496"/>
      <c r="V39" s="496"/>
      <c r="W39" s="496"/>
      <c r="X39" s="496"/>
      <c r="Y39" s="496"/>
      <c r="Z39" s="496"/>
      <c r="AA39" s="496"/>
      <c r="AB39" s="496"/>
      <c r="AC39" s="496"/>
      <c r="AD39" s="496"/>
      <c r="AE39" s="497"/>
      <c r="AF39" s="92">
        <f t="shared" si="1"/>
        <v>94</v>
      </c>
      <c r="AG39" s="511">
        <f>+'ANEXO 14'!E21</f>
        <v>24600000</v>
      </c>
      <c r="AH39" s="512"/>
      <c r="AI39" s="512"/>
      <c r="AJ39" s="512"/>
      <c r="AK39" s="513"/>
      <c r="AN39" s="77"/>
      <c r="AO39" s="77"/>
      <c r="AP39" s="77"/>
      <c r="AQ39" s="77"/>
      <c r="AR39" s="77"/>
      <c r="AS39" s="77"/>
      <c r="AT39" s="77"/>
      <c r="AU39" s="77"/>
      <c r="AV39" s="77"/>
      <c r="AW39" s="77"/>
      <c r="AX39" s="77"/>
      <c r="AY39" s="77"/>
      <c r="AZ39" s="77"/>
    </row>
    <row r="40" spans="1:52" ht="18.75" customHeight="1">
      <c r="A40" s="775"/>
      <c r="B40" s="498" t="s">
        <v>119</v>
      </c>
      <c r="C40" s="499"/>
      <c r="D40" s="499"/>
      <c r="E40" s="499"/>
      <c r="F40" s="499"/>
      <c r="G40" s="499"/>
      <c r="H40" s="499"/>
      <c r="I40" s="499"/>
      <c r="J40" s="499"/>
      <c r="K40" s="499"/>
      <c r="L40" s="528"/>
      <c r="M40" s="89">
        <f t="shared" si="0"/>
        <v>57</v>
      </c>
      <c r="N40" s="672">
        <f>+'ANEXO 9'!E33</f>
        <v>622456000</v>
      </c>
      <c r="O40" s="542"/>
      <c r="P40" s="542"/>
      <c r="Q40" s="542"/>
      <c r="R40" s="543"/>
      <c r="S40" s="571"/>
      <c r="T40" s="498" t="s">
        <v>154</v>
      </c>
      <c r="U40" s="499"/>
      <c r="V40" s="499"/>
      <c r="W40" s="499"/>
      <c r="X40" s="499"/>
      <c r="Y40" s="499"/>
      <c r="Z40" s="499"/>
      <c r="AA40" s="499"/>
      <c r="AB40" s="499"/>
      <c r="AC40" s="499"/>
      <c r="AD40" s="499"/>
      <c r="AE40" s="528"/>
      <c r="AF40" s="110">
        <f t="shared" si="1"/>
        <v>95</v>
      </c>
      <c r="AG40" s="704">
        <v>0</v>
      </c>
      <c r="AH40" s="553"/>
      <c r="AI40" s="553"/>
      <c r="AJ40" s="553"/>
      <c r="AK40" s="554"/>
      <c r="AN40" s="77"/>
      <c r="AO40" s="77"/>
      <c r="AP40" s="77"/>
      <c r="AQ40" s="77"/>
      <c r="AR40" s="77"/>
      <c r="AS40" s="77"/>
      <c r="AT40" s="77"/>
      <c r="AU40" s="77"/>
      <c r="AV40" s="77"/>
      <c r="AW40" s="77"/>
      <c r="AX40" s="77"/>
      <c r="AY40" s="77"/>
      <c r="AZ40" s="77"/>
    </row>
    <row r="41" spans="1:52" ht="12.75">
      <c r="A41" s="775"/>
      <c r="B41" s="514" t="s">
        <v>128</v>
      </c>
      <c r="C41" s="515"/>
      <c r="D41" s="515"/>
      <c r="E41" s="515"/>
      <c r="F41" s="515"/>
      <c r="G41" s="515"/>
      <c r="H41" s="515"/>
      <c r="I41" s="515"/>
      <c r="J41" s="515"/>
      <c r="K41" s="515"/>
      <c r="L41" s="527"/>
      <c r="M41" s="86">
        <f t="shared" si="0"/>
        <v>58</v>
      </c>
      <c r="N41" s="561">
        <f>+N37-N38-N39-N40</f>
        <v>517544000</v>
      </c>
      <c r="O41" s="561"/>
      <c r="P41" s="561"/>
      <c r="Q41" s="561"/>
      <c r="R41" s="671"/>
      <c r="S41" s="571"/>
      <c r="T41" s="514" t="s">
        <v>155</v>
      </c>
      <c r="U41" s="515"/>
      <c r="V41" s="515"/>
      <c r="W41" s="515"/>
      <c r="X41" s="515"/>
      <c r="Y41" s="515"/>
      <c r="Z41" s="515"/>
      <c r="AA41" s="515"/>
      <c r="AB41" s="515"/>
      <c r="AC41" s="515"/>
      <c r="AD41" s="515"/>
      <c r="AE41" s="527"/>
      <c r="AF41" s="111">
        <f t="shared" si="1"/>
        <v>96</v>
      </c>
      <c r="AG41" s="705">
        <f>+AG38+AG39-AG40</f>
        <v>220564000</v>
      </c>
      <c r="AH41" s="706"/>
      <c r="AI41" s="706"/>
      <c r="AJ41" s="706"/>
      <c r="AK41" s="707"/>
      <c r="AN41" s="77"/>
      <c r="AO41" s="77"/>
      <c r="AP41" s="77"/>
      <c r="AQ41" s="77"/>
      <c r="AR41" s="77"/>
      <c r="AS41" s="77"/>
      <c r="AT41" s="77"/>
      <c r="AU41" s="77"/>
      <c r="AV41" s="77"/>
      <c r="AW41" s="77"/>
      <c r="AX41" s="77"/>
      <c r="AY41" s="77"/>
      <c r="AZ41" s="77"/>
    </row>
    <row r="42" spans="1:52" ht="12.75">
      <c r="A42" s="775"/>
      <c r="B42" s="498" t="s">
        <v>423</v>
      </c>
      <c r="C42" s="499"/>
      <c r="D42" s="499"/>
      <c r="E42" s="499"/>
      <c r="F42" s="499"/>
      <c r="G42" s="499"/>
      <c r="H42" s="499"/>
      <c r="I42" s="499"/>
      <c r="J42" s="499"/>
      <c r="K42" s="499"/>
      <c r="L42" s="528"/>
      <c r="M42" s="89">
        <f t="shared" si="0"/>
        <v>59</v>
      </c>
      <c r="N42" s="542">
        <v>0</v>
      </c>
      <c r="O42" s="542"/>
      <c r="P42" s="542"/>
      <c r="Q42" s="542"/>
      <c r="R42" s="543"/>
      <c r="S42" s="571"/>
      <c r="T42" s="498" t="s">
        <v>156</v>
      </c>
      <c r="U42" s="499"/>
      <c r="V42" s="499"/>
      <c r="W42" s="499"/>
      <c r="X42" s="499"/>
      <c r="Y42" s="499"/>
      <c r="Z42" s="499"/>
      <c r="AA42" s="499"/>
      <c r="AB42" s="499"/>
      <c r="AC42" s="499"/>
      <c r="AD42" s="499"/>
      <c r="AE42" s="528"/>
      <c r="AF42" s="110">
        <f t="shared" si="1"/>
        <v>97</v>
      </c>
      <c r="AG42" s="544">
        <v>980000</v>
      </c>
      <c r="AH42" s="545"/>
      <c r="AI42" s="545"/>
      <c r="AJ42" s="545"/>
      <c r="AK42" s="546"/>
      <c r="AN42" s="77"/>
      <c r="AO42" s="77"/>
      <c r="AP42" s="77"/>
      <c r="AQ42" s="77"/>
      <c r="AR42" s="77"/>
      <c r="AS42" s="77"/>
      <c r="AT42" s="77"/>
      <c r="AU42" s="77"/>
      <c r="AV42" s="77"/>
      <c r="AW42" s="77"/>
      <c r="AX42" s="77"/>
      <c r="AY42" s="77"/>
      <c r="AZ42" s="77"/>
    </row>
    <row r="43" spans="1:52" ht="19.5" customHeight="1">
      <c r="A43" s="775"/>
      <c r="B43" s="495" t="s">
        <v>130</v>
      </c>
      <c r="C43" s="496"/>
      <c r="D43" s="496"/>
      <c r="E43" s="496"/>
      <c r="F43" s="496"/>
      <c r="G43" s="496"/>
      <c r="H43" s="496"/>
      <c r="I43" s="496"/>
      <c r="J43" s="496"/>
      <c r="K43" s="496"/>
      <c r="L43" s="497"/>
      <c r="M43" s="85">
        <f t="shared" si="0"/>
        <v>60</v>
      </c>
      <c r="N43" s="662">
        <v>0</v>
      </c>
      <c r="O43" s="662"/>
      <c r="P43" s="662"/>
      <c r="Q43" s="662"/>
      <c r="R43" s="663"/>
      <c r="S43" s="571"/>
      <c r="T43" s="495" t="s">
        <v>157</v>
      </c>
      <c r="U43" s="496"/>
      <c r="V43" s="496"/>
      <c r="W43" s="496"/>
      <c r="X43" s="496"/>
      <c r="Y43" s="496"/>
      <c r="Z43" s="496"/>
      <c r="AA43" s="496"/>
      <c r="AB43" s="496"/>
      <c r="AC43" s="496"/>
      <c r="AD43" s="496"/>
      <c r="AE43" s="497"/>
      <c r="AF43" s="92">
        <f t="shared" si="1"/>
        <v>98</v>
      </c>
      <c r="AG43" s="511">
        <v>0</v>
      </c>
      <c r="AH43" s="512"/>
      <c r="AI43" s="512"/>
      <c r="AJ43" s="512"/>
      <c r="AK43" s="513"/>
      <c r="AN43" s="703"/>
      <c r="AO43" s="703"/>
      <c r="AP43" s="703"/>
      <c r="AQ43" s="703"/>
      <c r="AR43" s="703"/>
      <c r="AS43" s="703"/>
      <c r="AT43" s="703"/>
      <c r="AU43" s="703"/>
      <c r="AV43" s="703"/>
      <c r="AW43" s="703"/>
      <c r="AX43" s="703"/>
      <c r="AY43" s="78"/>
      <c r="AZ43" s="101"/>
    </row>
    <row r="44" spans="1:52" ht="19.5" customHeight="1">
      <c r="A44" s="775"/>
      <c r="B44" s="489" t="s">
        <v>412</v>
      </c>
      <c r="C44" s="490"/>
      <c r="D44" s="490"/>
      <c r="E44" s="490"/>
      <c r="F44" s="490"/>
      <c r="G44" s="490"/>
      <c r="H44" s="490"/>
      <c r="I44" s="490"/>
      <c r="J44" s="490"/>
      <c r="K44" s="490"/>
      <c r="L44" s="491"/>
      <c r="M44" s="51">
        <f t="shared" si="0"/>
        <v>61</v>
      </c>
      <c r="N44" s="564">
        <v>0</v>
      </c>
      <c r="O44" s="638"/>
      <c r="P44" s="638"/>
      <c r="Q44" s="638"/>
      <c r="R44" s="639"/>
      <c r="S44" s="571"/>
      <c r="T44" s="489" t="s">
        <v>158</v>
      </c>
      <c r="U44" s="490"/>
      <c r="V44" s="490"/>
      <c r="W44" s="490"/>
      <c r="X44" s="490"/>
      <c r="Y44" s="490"/>
      <c r="Z44" s="490"/>
      <c r="AA44" s="490"/>
      <c r="AB44" s="490"/>
      <c r="AC44" s="490"/>
      <c r="AD44" s="490"/>
      <c r="AE44" s="491"/>
      <c r="AF44" s="93">
        <f t="shared" si="1"/>
        <v>99</v>
      </c>
      <c r="AG44" s="492">
        <f>ROUND(+'ANEXO 15'!D10,-3)</f>
        <v>25809000</v>
      </c>
      <c r="AH44" s="493"/>
      <c r="AI44" s="493"/>
      <c r="AJ44" s="493"/>
      <c r="AK44" s="494"/>
      <c r="AN44" s="703"/>
      <c r="AO44" s="703"/>
      <c r="AP44" s="703"/>
      <c r="AQ44" s="703"/>
      <c r="AR44" s="703"/>
      <c r="AS44" s="703"/>
      <c r="AT44" s="703"/>
      <c r="AU44" s="703"/>
      <c r="AV44" s="703"/>
      <c r="AW44" s="703"/>
      <c r="AX44" s="703"/>
      <c r="AY44" s="78"/>
      <c r="AZ44" s="101"/>
    </row>
    <row r="45" spans="1:52" ht="20.25" customHeight="1">
      <c r="A45" s="775"/>
      <c r="B45" s="514" t="s">
        <v>131</v>
      </c>
      <c r="C45" s="515"/>
      <c r="D45" s="515"/>
      <c r="E45" s="515"/>
      <c r="F45" s="515"/>
      <c r="G45" s="515"/>
      <c r="H45" s="515"/>
      <c r="I45" s="515"/>
      <c r="J45" s="515"/>
      <c r="K45" s="515"/>
      <c r="L45" s="527"/>
      <c r="M45" s="86">
        <f t="shared" si="0"/>
        <v>62</v>
      </c>
      <c r="N45" s="660">
        <f>+N37+N42-N38-N39-N40-N44</f>
        <v>517544000</v>
      </c>
      <c r="O45" s="660"/>
      <c r="P45" s="660"/>
      <c r="Q45" s="660"/>
      <c r="R45" s="661"/>
      <c r="S45" s="571"/>
      <c r="T45" s="495" t="s">
        <v>159</v>
      </c>
      <c r="U45" s="496"/>
      <c r="V45" s="496"/>
      <c r="W45" s="496"/>
      <c r="X45" s="496"/>
      <c r="Y45" s="496"/>
      <c r="Z45" s="496"/>
      <c r="AA45" s="496"/>
      <c r="AB45" s="496"/>
      <c r="AC45" s="496"/>
      <c r="AD45" s="496"/>
      <c r="AE45" s="497"/>
      <c r="AF45" s="92">
        <f t="shared" si="1"/>
        <v>100</v>
      </c>
      <c r="AG45" s="519">
        <f>ROUND(IF(MIN('ANEXO 15'!D11:D18)&gt;0,(MIN('ANEXO 15'!D11,'ANEXO 15'!D18)),0),-3)</f>
        <v>58246000</v>
      </c>
      <c r="AH45" s="520"/>
      <c r="AI45" s="520"/>
      <c r="AJ45" s="520"/>
      <c r="AK45" s="521"/>
      <c r="AM45" s="2"/>
      <c r="AN45" s="77"/>
      <c r="AO45" s="77"/>
      <c r="AP45" s="77"/>
      <c r="AQ45" s="77"/>
      <c r="AR45" s="77"/>
      <c r="AS45" s="77"/>
      <c r="AT45" s="77"/>
      <c r="AU45" s="77"/>
      <c r="AV45" s="77"/>
      <c r="AW45" s="77"/>
      <c r="AX45" s="77"/>
      <c r="AY45" s="77"/>
      <c r="AZ45" s="77"/>
    </row>
    <row r="46" spans="1:52" ht="18.75" customHeight="1">
      <c r="A46" s="775"/>
      <c r="B46" s="489" t="s">
        <v>132</v>
      </c>
      <c r="C46" s="490"/>
      <c r="D46" s="490"/>
      <c r="E46" s="490"/>
      <c r="F46" s="490"/>
      <c r="G46" s="490"/>
      <c r="H46" s="490"/>
      <c r="I46" s="490"/>
      <c r="J46" s="490"/>
      <c r="K46" s="490"/>
      <c r="L46" s="491"/>
      <c r="M46" s="87">
        <f t="shared" si="0"/>
        <v>63</v>
      </c>
      <c r="N46" s="638">
        <f>IF((N38+N39+N40+N44-N37-N42)&gt;0,(N38+N39+N40+N44-N37-N42),0)</f>
        <v>0</v>
      </c>
      <c r="O46" s="638"/>
      <c r="P46" s="638"/>
      <c r="Q46" s="638"/>
      <c r="R46" s="639"/>
      <c r="S46" s="571"/>
      <c r="T46" s="489" t="s">
        <v>160</v>
      </c>
      <c r="U46" s="490"/>
      <c r="V46" s="490"/>
      <c r="W46" s="490"/>
      <c r="X46" s="490"/>
      <c r="Y46" s="490"/>
      <c r="Z46" s="490"/>
      <c r="AA46" s="490"/>
      <c r="AB46" s="490"/>
      <c r="AC46" s="490"/>
      <c r="AD46" s="490"/>
      <c r="AE46" s="491"/>
      <c r="AF46" s="93">
        <f t="shared" si="1"/>
        <v>101</v>
      </c>
      <c r="AG46" s="492">
        <f>+AG41+AG45-AG42-AG43-AG44</f>
        <v>252021000</v>
      </c>
      <c r="AH46" s="493"/>
      <c r="AI46" s="493"/>
      <c r="AJ46" s="493"/>
      <c r="AK46" s="494"/>
      <c r="AM46" s="2"/>
      <c r="AN46" s="77"/>
      <c r="AO46" s="77"/>
      <c r="AP46" s="77"/>
      <c r="AQ46" s="77"/>
      <c r="AR46" s="77"/>
      <c r="AS46" s="77"/>
      <c r="AT46" s="77"/>
      <c r="AU46" s="77"/>
      <c r="AV46" s="77"/>
      <c r="AW46" s="77"/>
      <c r="AX46" s="77"/>
      <c r="AY46" s="77"/>
      <c r="AZ46" s="77"/>
    </row>
    <row r="47" spans="1:52" ht="12.75">
      <c r="A47" s="775"/>
      <c r="B47" s="495" t="s">
        <v>133</v>
      </c>
      <c r="C47" s="496"/>
      <c r="D47" s="496"/>
      <c r="E47" s="496"/>
      <c r="F47" s="496"/>
      <c r="G47" s="496"/>
      <c r="H47" s="496"/>
      <c r="I47" s="496"/>
      <c r="J47" s="496"/>
      <c r="K47" s="496"/>
      <c r="L47" s="497"/>
      <c r="M47" s="85">
        <f t="shared" si="0"/>
        <v>64</v>
      </c>
      <c r="N47" s="662">
        <v>0</v>
      </c>
      <c r="O47" s="662"/>
      <c r="P47" s="662"/>
      <c r="Q47" s="662"/>
      <c r="R47" s="663"/>
      <c r="S47" s="571"/>
      <c r="T47" s="495" t="s">
        <v>8</v>
      </c>
      <c r="U47" s="496"/>
      <c r="V47" s="496"/>
      <c r="W47" s="496"/>
      <c r="X47" s="496"/>
      <c r="Y47" s="496"/>
      <c r="Z47" s="496"/>
      <c r="AA47" s="496"/>
      <c r="AB47" s="496"/>
      <c r="AC47" s="496"/>
      <c r="AD47" s="496"/>
      <c r="AE47" s="497"/>
      <c r="AF47" s="92">
        <f t="shared" si="1"/>
        <v>102</v>
      </c>
      <c r="AG47" s="522">
        <v>0</v>
      </c>
      <c r="AH47" s="523"/>
      <c r="AI47" s="523"/>
      <c r="AJ47" s="523"/>
      <c r="AK47" s="523"/>
      <c r="AL47" s="96"/>
      <c r="AN47" s="76"/>
      <c r="AO47" s="76"/>
      <c r="AP47" s="77"/>
      <c r="AQ47" s="76"/>
      <c r="AR47" s="76"/>
      <c r="AS47" s="76"/>
      <c r="AT47" s="76"/>
      <c r="AU47" s="76"/>
      <c r="AV47" s="76"/>
      <c r="AW47" s="76"/>
      <c r="AX47" s="76"/>
      <c r="AY47" s="76"/>
      <c r="AZ47" s="77"/>
    </row>
    <row r="48" spans="1:52" ht="12.75">
      <c r="A48" s="775"/>
      <c r="B48" s="489" t="s">
        <v>134</v>
      </c>
      <c r="C48" s="490"/>
      <c r="D48" s="490"/>
      <c r="E48" s="490"/>
      <c r="F48" s="490"/>
      <c r="G48" s="490"/>
      <c r="H48" s="490"/>
      <c r="I48" s="490"/>
      <c r="J48" s="490"/>
      <c r="K48" s="490"/>
      <c r="L48" s="491"/>
      <c r="M48" s="87">
        <f t="shared" si="0"/>
        <v>65</v>
      </c>
      <c r="N48" s="638">
        <f>-'ANEXO 5'!H14</f>
        <v>13589000</v>
      </c>
      <c r="O48" s="638"/>
      <c r="P48" s="638"/>
      <c r="Q48" s="638"/>
      <c r="R48" s="639"/>
      <c r="S48" s="571"/>
      <c r="T48" s="489" t="s">
        <v>161</v>
      </c>
      <c r="U48" s="490"/>
      <c r="V48" s="490"/>
      <c r="W48" s="490"/>
      <c r="X48" s="490"/>
      <c r="Y48" s="490"/>
      <c r="Z48" s="490"/>
      <c r="AA48" s="490"/>
      <c r="AB48" s="490"/>
      <c r="AC48" s="490"/>
      <c r="AD48" s="490"/>
      <c r="AE48" s="491"/>
      <c r="AF48" s="93">
        <f t="shared" si="1"/>
        <v>103</v>
      </c>
      <c r="AG48" s="492">
        <f>IF((+AG41+AG45+AG47-AG42-AG43-AG44)&gt;0,(AG41+AG45+AG47-AG42-AG43-AG44),0)</f>
        <v>252021000</v>
      </c>
      <c r="AH48" s="493"/>
      <c r="AI48" s="493"/>
      <c r="AJ48" s="493"/>
      <c r="AK48" s="494"/>
      <c r="AM48" s="2"/>
      <c r="AN48" s="76"/>
      <c r="AO48" s="76"/>
      <c r="AP48" s="77"/>
      <c r="AQ48" s="76"/>
      <c r="AR48" s="76"/>
      <c r="AS48" s="76"/>
      <c r="AT48" s="76"/>
      <c r="AU48" s="76"/>
      <c r="AV48" s="76"/>
      <c r="AW48" s="76"/>
      <c r="AX48" s="76"/>
      <c r="AY48" s="76"/>
      <c r="AZ48" s="76"/>
    </row>
    <row r="49" spans="1:52" ht="21" customHeight="1" thickBot="1">
      <c r="A49" s="776"/>
      <c r="B49" s="555" t="s">
        <v>413</v>
      </c>
      <c r="C49" s="556"/>
      <c r="D49" s="556"/>
      <c r="E49" s="556"/>
      <c r="F49" s="556"/>
      <c r="G49" s="556"/>
      <c r="H49" s="556"/>
      <c r="I49" s="556"/>
      <c r="J49" s="556"/>
      <c r="K49" s="556"/>
      <c r="L49" s="557"/>
      <c r="M49" s="116">
        <f>+M48+1</f>
        <v>66</v>
      </c>
      <c r="N49" s="772">
        <f>+N45-N47+N48</f>
        <v>531133000</v>
      </c>
      <c r="O49" s="772"/>
      <c r="P49" s="772"/>
      <c r="Q49" s="772"/>
      <c r="R49" s="773"/>
      <c r="S49" s="572"/>
      <c r="T49" s="555" t="s">
        <v>162</v>
      </c>
      <c r="U49" s="556"/>
      <c r="V49" s="556"/>
      <c r="W49" s="556"/>
      <c r="X49" s="556"/>
      <c r="Y49" s="556"/>
      <c r="Z49" s="556"/>
      <c r="AA49" s="556"/>
      <c r="AB49" s="556"/>
      <c r="AC49" s="556"/>
      <c r="AD49" s="556"/>
      <c r="AE49" s="557"/>
      <c r="AF49" s="111">
        <f>+AF48+1</f>
        <v>104</v>
      </c>
      <c r="AG49" s="503">
        <f>IF((+AG42+AG43+AG44-AG41-AG45-AG47)&gt;0,(AG42+AG43+AG44-AG41-AG47),0)</f>
        <v>0</v>
      </c>
      <c r="AH49" s="504"/>
      <c r="AI49" s="504"/>
      <c r="AJ49" s="504"/>
      <c r="AK49" s="505"/>
      <c r="AL49" s="96"/>
      <c r="AN49" s="76"/>
      <c r="AO49" s="76"/>
      <c r="AP49" s="77"/>
      <c r="AQ49" s="76"/>
      <c r="AR49" s="76"/>
      <c r="AS49" s="76"/>
      <c r="AT49" s="76"/>
      <c r="AU49" s="77"/>
      <c r="AV49" s="76"/>
      <c r="AW49" s="76"/>
      <c r="AX49" s="76"/>
      <c r="AY49" s="76"/>
      <c r="AZ49" s="76"/>
    </row>
    <row r="50" spans="1:52" ht="15" customHeight="1" thickBot="1">
      <c r="A50" s="506" t="s">
        <v>97</v>
      </c>
      <c r="B50" s="507"/>
      <c r="C50" s="507"/>
      <c r="D50" s="507"/>
      <c r="E50" s="507"/>
      <c r="F50" s="507"/>
      <c r="G50" s="507"/>
      <c r="H50" s="507"/>
      <c r="I50" s="507"/>
      <c r="J50" s="108" t="s">
        <v>163</v>
      </c>
      <c r="K50" s="108"/>
      <c r="L50" s="510" t="s">
        <v>164</v>
      </c>
      <c r="M50" s="510"/>
      <c r="N50" s="510"/>
      <c r="O50" s="510"/>
      <c r="P50" s="510"/>
      <c r="Q50" s="510"/>
      <c r="R50" s="529"/>
      <c r="S50" s="529"/>
      <c r="T50" s="529"/>
      <c r="U50" s="529"/>
      <c r="V50" s="529"/>
      <c r="W50" s="529"/>
      <c r="X50" s="530"/>
      <c r="Y50" s="508" t="s">
        <v>165</v>
      </c>
      <c r="Z50" s="509"/>
      <c r="AA50" s="509"/>
      <c r="AB50" s="509"/>
      <c r="AC50" s="509"/>
      <c r="AD50" s="509"/>
      <c r="AE50" s="509"/>
      <c r="AF50" s="531"/>
      <c r="AG50" s="531"/>
      <c r="AH50" s="531"/>
      <c r="AI50" s="531"/>
      <c r="AJ50" s="531"/>
      <c r="AK50" s="532"/>
      <c r="AL50" s="2"/>
      <c r="AM50" s="2"/>
      <c r="AN50" s="77"/>
      <c r="AO50" s="77"/>
      <c r="AP50" s="77"/>
      <c r="AQ50" s="77"/>
      <c r="AR50" s="77"/>
      <c r="AS50" s="76"/>
      <c r="AT50" s="77"/>
      <c r="AU50" s="76"/>
      <c r="AV50" s="76"/>
      <c r="AW50" s="76"/>
      <c r="AX50" s="76"/>
      <c r="AY50" s="76"/>
      <c r="AZ50" s="76"/>
    </row>
    <row r="51" spans="1:52" ht="16.5" customHeight="1" thickBot="1">
      <c r="A51" s="674" t="s">
        <v>12</v>
      </c>
      <c r="B51" s="675"/>
      <c r="C51" s="675"/>
      <c r="D51" s="675"/>
      <c r="E51" s="692"/>
      <c r="F51" s="79"/>
      <c r="G51" s="79"/>
      <c r="H51" s="71"/>
      <c r="I51" s="71"/>
      <c r="J51" s="71"/>
      <c r="K51" s="72"/>
      <c r="L51" s="669" t="s">
        <v>89</v>
      </c>
      <c r="M51" s="670"/>
      <c r="N51" s="670"/>
      <c r="O51" s="670"/>
      <c r="P51" s="670"/>
      <c r="Q51" s="670"/>
      <c r="R51" s="670"/>
      <c r="S51" s="670"/>
      <c r="T51" s="670"/>
      <c r="U51" s="670"/>
      <c r="V51" s="670"/>
      <c r="W51" s="670"/>
      <c r="X51" s="670"/>
      <c r="Y51" s="670"/>
      <c r="Z51" s="80"/>
      <c r="AA51" s="73" t="s">
        <v>93</v>
      </c>
      <c r="AB51" s="74"/>
      <c r="AC51" s="95"/>
      <c r="AD51" s="74"/>
      <c r="AE51" s="74"/>
      <c r="AF51" s="74"/>
      <c r="AG51" s="74"/>
      <c r="AH51" s="74"/>
      <c r="AI51" s="74"/>
      <c r="AJ51" s="74"/>
      <c r="AK51" s="75"/>
      <c r="AL51" s="2"/>
      <c r="AM51" s="2"/>
      <c r="AN51" s="77"/>
      <c r="AO51" s="77"/>
      <c r="AP51" s="77"/>
      <c r="AQ51" s="77"/>
      <c r="AR51" s="77"/>
      <c r="AS51" s="77"/>
      <c r="AT51" s="76"/>
      <c r="AU51" s="76"/>
      <c r="AV51" s="76"/>
      <c r="AW51" s="76"/>
      <c r="AX51" s="76"/>
      <c r="AY51" s="76"/>
      <c r="AZ51" s="76"/>
    </row>
    <row r="52" spans="1:52" ht="15.75" customHeight="1" thickBot="1">
      <c r="A52" s="674" t="s">
        <v>86</v>
      </c>
      <c r="B52" s="675"/>
      <c r="C52" s="675"/>
      <c r="D52" s="675"/>
      <c r="E52" s="675"/>
      <c r="F52" s="675"/>
      <c r="G52" s="675"/>
      <c r="H52" s="675"/>
      <c r="I52" s="675"/>
      <c r="J52" s="675"/>
      <c r="K52" s="676"/>
      <c r="L52" s="677"/>
      <c r="M52" s="678"/>
      <c r="N52" s="678"/>
      <c r="O52" s="678"/>
      <c r="P52" s="678"/>
      <c r="Q52" s="678"/>
      <c r="R52" s="678"/>
      <c r="S52" s="678"/>
      <c r="T52" s="678"/>
      <c r="U52" s="678"/>
      <c r="V52" s="678"/>
      <c r="W52" s="678"/>
      <c r="X52" s="678"/>
      <c r="Y52" s="678"/>
      <c r="Z52" s="82"/>
      <c r="AA52" s="64"/>
      <c r="AB52" s="679"/>
      <c r="AC52" s="680"/>
      <c r="AD52" s="680"/>
      <c r="AE52" s="680"/>
      <c r="AF52" s="680"/>
      <c r="AG52" s="680"/>
      <c r="AH52" s="680"/>
      <c r="AI52" s="680"/>
      <c r="AJ52" s="681"/>
      <c r="AK52" s="65"/>
      <c r="AL52" s="2"/>
      <c r="AM52" s="2"/>
      <c r="AN52" s="77"/>
      <c r="AO52" s="77"/>
      <c r="AP52" s="77"/>
      <c r="AQ52" s="77"/>
      <c r="AR52" s="77"/>
      <c r="AS52" s="76"/>
      <c r="AT52" s="76"/>
      <c r="AU52" s="76"/>
      <c r="AV52" s="76"/>
      <c r="AW52" s="76"/>
      <c r="AX52" s="76"/>
      <c r="AY52" s="76"/>
      <c r="AZ52" s="76"/>
    </row>
    <row r="53" spans="1:52" ht="9.75" customHeight="1" thickBot="1">
      <c r="A53" s="517"/>
      <c r="B53" s="518"/>
      <c r="C53" s="518"/>
      <c r="D53" s="518"/>
      <c r="E53" s="518"/>
      <c r="F53" s="518"/>
      <c r="G53" s="518"/>
      <c r="H53" s="518"/>
      <c r="I53" s="518"/>
      <c r="J53" s="52"/>
      <c r="K53" s="54"/>
      <c r="L53" s="61"/>
      <c r="M53" s="31"/>
      <c r="N53" s="31"/>
      <c r="O53" s="31"/>
      <c r="P53" s="31"/>
      <c r="Q53" s="31"/>
      <c r="R53" s="31"/>
      <c r="S53" s="31"/>
      <c r="T53" s="31"/>
      <c r="U53" s="31"/>
      <c r="V53" s="31"/>
      <c r="W53" s="31"/>
      <c r="X53" s="31"/>
      <c r="Y53" s="31"/>
      <c r="Z53" s="60"/>
      <c r="AA53" s="66"/>
      <c r="AB53" s="67"/>
      <c r="AC53" s="67"/>
      <c r="AD53" s="67"/>
      <c r="AE53" s="67"/>
      <c r="AF53" s="67"/>
      <c r="AG53" s="67"/>
      <c r="AH53" s="67"/>
      <c r="AI53" s="67"/>
      <c r="AJ53" s="67"/>
      <c r="AK53" s="68"/>
      <c r="AL53" s="2"/>
      <c r="AM53" s="2"/>
      <c r="AN53" s="77"/>
      <c r="AO53" s="77"/>
      <c r="AP53" s="673"/>
      <c r="AQ53" s="673"/>
      <c r="AR53" s="77"/>
      <c r="AS53" s="76"/>
      <c r="AT53" s="76"/>
      <c r="AU53" s="76"/>
      <c r="AV53" s="76"/>
      <c r="AW53" s="76"/>
      <c r="AX53" s="76"/>
      <c r="AY53" s="76"/>
      <c r="AZ53" s="76"/>
    </row>
    <row r="54" spans="1:52" ht="18" customHeight="1">
      <c r="A54" s="55"/>
      <c r="B54" s="52"/>
      <c r="C54" s="52"/>
      <c r="D54" s="52"/>
      <c r="E54" s="52"/>
      <c r="F54" s="52"/>
      <c r="G54" s="52"/>
      <c r="H54" s="52"/>
      <c r="I54" s="52"/>
      <c r="J54" s="52"/>
      <c r="K54" s="54"/>
      <c r="L54" s="61"/>
      <c r="M54" s="31"/>
      <c r="N54" s="31"/>
      <c r="O54" s="31"/>
      <c r="P54" s="31"/>
      <c r="Q54" s="31"/>
      <c r="R54" s="31"/>
      <c r="S54" s="31"/>
      <c r="T54" s="31"/>
      <c r="U54" s="31"/>
      <c r="V54" s="31"/>
      <c r="W54" s="31"/>
      <c r="X54" s="31"/>
      <c r="Y54" s="31"/>
      <c r="Z54" s="60"/>
      <c r="AA54" s="682" t="s">
        <v>98</v>
      </c>
      <c r="AB54" s="683"/>
      <c r="AC54" s="683"/>
      <c r="AD54" s="683"/>
      <c r="AE54" s="683"/>
      <c r="AF54" s="683"/>
      <c r="AG54" s="683"/>
      <c r="AH54" s="683"/>
      <c r="AI54" s="683"/>
      <c r="AJ54" s="683"/>
      <c r="AK54" s="684"/>
      <c r="AL54" s="2"/>
      <c r="AM54" s="2"/>
      <c r="AN54" s="77"/>
      <c r="AO54" s="77"/>
      <c r="AP54" s="673"/>
      <c r="AQ54" s="673"/>
      <c r="AR54" s="77"/>
      <c r="AS54" s="76"/>
      <c r="AT54" s="76"/>
      <c r="AU54" s="76"/>
      <c r="AV54" s="76"/>
      <c r="AW54" s="76"/>
      <c r="AX54" s="76"/>
      <c r="AY54" s="76"/>
      <c r="AZ54" s="76"/>
    </row>
    <row r="55" spans="1:44" ht="18" customHeight="1">
      <c r="A55" s="55"/>
      <c r="B55" s="53"/>
      <c r="C55" s="53"/>
      <c r="D55" s="53"/>
      <c r="E55" s="53"/>
      <c r="F55" s="53"/>
      <c r="G55" s="53"/>
      <c r="H55" s="53"/>
      <c r="I55" s="53"/>
      <c r="J55" s="53"/>
      <c r="K55" s="56"/>
      <c r="L55" s="62"/>
      <c r="M55" s="693"/>
      <c r="N55" s="693"/>
      <c r="O55" s="693"/>
      <c r="P55" s="693"/>
      <c r="Q55" s="693"/>
      <c r="R55" s="693"/>
      <c r="S55" s="693"/>
      <c r="T55" s="693"/>
      <c r="U55" s="693"/>
      <c r="V55" s="693"/>
      <c r="W55" s="693"/>
      <c r="X55" s="693"/>
      <c r="Y55" s="81"/>
      <c r="Z55" s="81"/>
      <c r="AA55" s="685"/>
      <c r="AB55" s="686"/>
      <c r="AC55" s="686"/>
      <c r="AD55" s="686"/>
      <c r="AE55" s="686"/>
      <c r="AF55" s="686"/>
      <c r="AG55" s="686"/>
      <c r="AH55" s="686"/>
      <c r="AI55" s="686"/>
      <c r="AJ55" s="686"/>
      <c r="AK55" s="687"/>
      <c r="AL55" s="2"/>
      <c r="AM55" s="2"/>
      <c r="AN55" s="2"/>
      <c r="AO55" s="2"/>
      <c r="AP55" s="5"/>
      <c r="AQ55" s="5"/>
      <c r="AR55" s="2"/>
    </row>
    <row r="56" spans="1:44" ht="10.5" customHeight="1" thickBot="1">
      <c r="A56" s="57"/>
      <c r="B56" s="58"/>
      <c r="C56" s="58"/>
      <c r="D56" s="58"/>
      <c r="E56" s="58"/>
      <c r="F56" s="58"/>
      <c r="G56" s="58"/>
      <c r="H56" s="58"/>
      <c r="I56" s="58"/>
      <c r="J56" s="58"/>
      <c r="K56" s="59"/>
      <c r="L56" s="63"/>
      <c r="M56" s="691"/>
      <c r="N56" s="691"/>
      <c r="O56" s="691"/>
      <c r="P56" s="691"/>
      <c r="Q56" s="691"/>
      <c r="R56" s="691"/>
      <c r="S56" s="691"/>
      <c r="T56" s="691"/>
      <c r="U56" s="691"/>
      <c r="V56" s="691"/>
      <c r="W56" s="691"/>
      <c r="X56" s="691"/>
      <c r="Y56" s="83"/>
      <c r="Z56" s="83"/>
      <c r="AA56" s="688"/>
      <c r="AB56" s="689"/>
      <c r="AC56" s="689"/>
      <c r="AD56" s="689"/>
      <c r="AE56" s="689"/>
      <c r="AF56" s="689"/>
      <c r="AG56" s="689"/>
      <c r="AH56" s="689"/>
      <c r="AI56" s="689"/>
      <c r="AJ56" s="689"/>
      <c r="AK56" s="690"/>
      <c r="AL56" s="2"/>
      <c r="AM56" s="2"/>
      <c r="AN56" s="2"/>
      <c r="AO56" s="2"/>
      <c r="AP56" s="2"/>
      <c r="AQ56" s="2"/>
      <c r="AR56" s="2"/>
    </row>
    <row r="57" spans="1:44" ht="13.5" customHeight="1">
      <c r="A57" s="664"/>
      <c r="B57" s="664"/>
      <c r="C57" s="664"/>
      <c r="D57" s="664"/>
      <c r="E57" s="664"/>
      <c r="F57" s="664"/>
      <c r="G57" s="664"/>
      <c r="H57" s="664"/>
      <c r="I57" s="664"/>
      <c r="J57" s="34"/>
      <c r="K57" s="665"/>
      <c r="L57" s="665"/>
      <c r="M57" s="665"/>
      <c r="N57" s="32"/>
      <c r="O57" s="32"/>
      <c r="P57" s="32"/>
      <c r="Q57" s="668"/>
      <c r="R57" s="668"/>
      <c r="S57" s="668"/>
      <c r="T57" s="668"/>
      <c r="U57" s="668"/>
      <c r="V57" s="668"/>
      <c r="W57" s="33"/>
      <c r="X57" s="33"/>
      <c r="Y57" s="33"/>
      <c r="Z57" s="33"/>
      <c r="AA57" s="33"/>
      <c r="AB57" s="33"/>
      <c r="AC57" s="33"/>
      <c r="AD57" s="33"/>
      <c r="AE57" s="659"/>
      <c r="AF57" s="659"/>
      <c r="AG57" s="659"/>
      <c r="AH57" s="659"/>
      <c r="AI57" s="659"/>
      <c r="AJ57" s="659"/>
      <c r="AK57" s="659"/>
      <c r="AL57" s="2"/>
      <c r="AM57" s="2"/>
      <c r="AN57" s="2"/>
      <c r="AO57" s="2"/>
      <c r="AP57" s="2"/>
      <c r="AQ57" s="2"/>
      <c r="AR57" s="2"/>
    </row>
    <row r="58" spans="1:44" ht="18"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2"/>
      <c r="AM58" s="2"/>
      <c r="AN58" s="2"/>
      <c r="AO58" s="2"/>
      <c r="AP58" s="2"/>
      <c r="AQ58" s="2"/>
      <c r="AR58" s="2"/>
    </row>
  </sheetData>
  <sheetProtection/>
  <mergeCells count="213">
    <mergeCell ref="B48:L48"/>
    <mergeCell ref="B49:L49"/>
    <mergeCell ref="N49:R49"/>
    <mergeCell ref="A37:A49"/>
    <mergeCell ref="T13:AE13"/>
    <mergeCell ref="T14:AE14"/>
    <mergeCell ref="T26:U30"/>
    <mergeCell ref="V29:AE29"/>
    <mergeCell ref="A26:A36"/>
    <mergeCell ref="B15:L15"/>
    <mergeCell ref="B20:L20"/>
    <mergeCell ref="B40:L40"/>
    <mergeCell ref="B41:L41"/>
    <mergeCell ref="B42:L42"/>
    <mergeCell ref="B43:L43"/>
    <mergeCell ref="B28:L28"/>
    <mergeCell ref="B39:L39"/>
    <mergeCell ref="B23:L23"/>
    <mergeCell ref="B24:L24"/>
    <mergeCell ref="B21:L21"/>
    <mergeCell ref="M11:O11"/>
    <mergeCell ref="P11:T11"/>
    <mergeCell ref="U11:Z11"/>
    <mergeCell ref="A15:A20"/>
    <mergeCell ref="T15:AE15"/>
    <mergeCell ref="T16:AE16"/>
    <mergeCell ref="S12:S19"/>
    <mergeCell ref="A9:A11"/>
    <mergeCell ref="B18:L18"/>
    <mergeCell ref="N13:R13"/>
    <mergeCell ref="A4:B4"/>
    <mergeCell ref="A12:A14"/>
    <mergeCell ref="B9:M9"/>
    <mergeCell ref="N12:R12"/>
    <mergeCell ref="B13:L13"/>
    <mergeCell ref="R4:AK4"/>
    <mergeCell ref="AJ9:AK9"/>
    <mergeCell ref="B11:D11"/>
    <mergeCell ref="F11:I11"/>
    <mergeCell ref="P10:T10"/>
    <mergeCell ref="N24:R24"/>
    <mergeCell ref="AG16:AK16"/>
    <mergeCell ref="N20:R20"/>
    <mergeCell ref="N21:R21"/>
    <mergeCell ref="N22:R22"/>
    <mergeCell ref="AG21:AK21"/>
    <mergeCell ref="S20:S21"/>
    <mergeCell ref="S22:S25"/>
    <mergeCell ref="AG18:AK18"/>
    <mergeCell ref="AG24:AK24"/>
    <mergeCell ref="B14:L14"/>
    <mergeCell ref="N15:R15"/>
    <mergeCell ref="N16:R16"/>
    <mergeCell ref="N18:R18"/>
    <mergeCell ref="B19:L19"/>
    <mergeCell ref="B16:L16"/>
    <mergeCell ref="B17:L17"/>
    <mergeCell ref="T20:AE20"/>
    <mergeCell ref="AP14:AZ14"/>
    <mergeCell ref="AG12:AK12"/>
    <mergeCell ref="AG13:AK13"/>
    <mergeCell ref="AG14:AK14"/>
    <mergeCell ref="T12:AE12"/>
    <mergeCell ref="AG17:AK17"/>
    <mergeCell ref="AG15:AK15"/>
    <mergeCell ref="T18:AE18"/>
    <mergeCell ref="AN43:AX43"/>
    <mergeCell ref="AG33:AK33"/>
    <mergeCell ref="AG23:AK23"/>
    <mergeCell ref="T19:AE19"/>
    <mergeCell ref="AG20:AK20"/>
    <mergeCell ref="B29:L29"/>
    <mergeCell ref="N19:R19"/>
    <mergeCell ref="N23:R23"/>
    <mergeCell ref="AG26:AK26"/>
    <mergeCell ref="AG27:AK27"/>
    <mergeCell ref="A21:A25"/>
    <mergeCell ref="B25:L25"/>
    <mergeCell ref="AN44:AX44"/>
    <mergeCell ref="AG40:AK40"/>
    <mergeCell ref="AG41:AK41"/>
    <mergeCell ref="AG42:AK42"/>
    <mergeCell ref="AG28:AK28"/>
    <mergeCell ref="AG43:AK43"/>
    <mergeCell ref="AG31:AK31"/>
    <mergeCell ref="AG32:AK32"/>
    <mergeCell ref="M56:X56"/>
    <mergeCell ref="A51:E51"/>
    <mergeCell ref="M55:X55"/>
    <mergeCell ref="B33:L33"/>
    <mergeCell ref="T23:AE23"/>
    <mergeCell ref="T21:AE21"/>
    <mergeCell ref="B27:L27"/>
    <mergeCell ref="N25:R25"/>
    <mergeCell ref="N28:R28"/>
    <mergeCell ref="B22:L22"/>
    <mergeCell ref="N40:R40"/>
    <mergeCell ref="B30:L30"/>
    <mergeCell ref="AP54:AQ54"/>
    <mergeCell ref="A52:K52"/>
    <mergeCell ref="N43:R43"/>
    <mergeCell ref="L52:Y52"/>
    <mergeCell ref="AP53:AQ53"/>
    <mergeCell ref="AB52:AJ52"/>
    <mergeCell ref="B47:L47"/>
    <mergeCell ref="AA54:AK56"/>
    <mergeCell ref="B45:L45"/>
    <mergeCell ref="A57:I57"/>
    <mergeCell ref="K57:M57"/>
    <mergeCell ref="N27:R27"/>
    <mergeCell ref="N48:R48"/>
    <mergeCell ref="Q57:V57"/>
    <mergeCell ref="L51:Y51"/>
    <mergeCell ref="N41:R41"/>
    <mergeCell ref="N31:R31"/>
    <mergeCell ref="N32:R32"/>
    <mergeCell ref="R5:AK8"/>
    <mergeCell ref="AB11:AJ11"/>
    <mergeCell ref="AE57:AK57"/>
    <mergeCell ref="N45:R45"/>
    <mergeCell ref="N46:R46"/>
    <mergeCell ref="B31:L31"/>
    <mergeCell ref="B32:L32"/>
    <mergeCell ref="N29:R29"/>
    <mergeCell ref="N47:R47"/>
    <mergeCell ref="B34:L34"/>
    <mergeCell ref="A5:Q8"/>
    <mergeCell ref="T17:AE17"/>
    <mergeCell ref="AG1:AK3"/>
    <mergeCell ref="Y1:AF3"/>
    <mergeCell ref="N44:R44"/>
    <mergeCell ref="N14:R14"/>
    <mergeCell ref="N26:R26"/>
    <mergeCell ref="N17:R17"/>
    <mergeCell ref="AG29:AK29"/>
    <mergeCell ref="V26:AE26"/>
    <mergeCell ref="B36:L36"/>
    <mergeCell ref="B44:L44"/>
    <mergeCell ref="AS1:BB1"/>
    <mergeCell ref="AS2:BB2"/>
    <mergeCell ref="G1:X3"/>
    <mergeCell ref="AL1:AO3"/>
    <mergeCell ref="B12:L12"/>
    <mergeCell ref="T22:AE22"/>
    <mergeCell ref="A1:F3"/>
    <mergeCell ref="G4:Q4"/>
    <mergeCell ref="T49:AE49"/>
    <mergeCell ref="T33:AE33"/>
    <mergeCell ref="N30:R30"/>
    <mergeCell ref="B26:L26"/>
    <mergeCell ref="N42:R42"/>
    <mergeCell ref="N35:R35"/>
    <mergeCell ref="B38:L38"/>
    <mergeCell ref="B46:L46"/>
    <mergeCell ref="B37:L37"/>
    <mergeCell ref="B35:L35"/>
    <mergeCell ref="V30:AE30"/>
    <mergeCell ref="T32:AE32"/>
    <mergeCell ref="N33:R33"/>
    <mergeCell ref="N34:R34"/>
    <mergeCell ref="T43:AE43"/>
    <mergeCell ref="T44:AE44"/>
    <mergeCell ref="T38:AE38"/>
    <mergeCell ref="T39:AE39"/>
    <mergeCell ref="T40:AE40"/>
    <mergeCell ref="S26:S49"/>
    <mergeCell ref="U10:Y10"/>
    <mergeCell ref="Z10:AD10"/>
    <mergeCell ref="AE10:AI10"/>
    <mergeCell ref="V27:AE27"/>
    <mergeCell ref="V28:AE28"/>
    <mergeCell ref="AG25:AK25"/>
    <mergeCell ref="AG22:AK22"/>
    <mergeCell ref="T25:AE25"/>
    <mergeCell ref="T24:AE24"/>
    <mergeCell ref="AG19:AK19"/>
    <mergeCell ref="AB50:AE50"/>
    <mergeCell ref="AF50:AK50"/>
    <mergeCell ref="AG30:AK30"/>
    <mergeCell ref="N36:R36"/>
    <mergeCell ref="N37:R37"/>
    <mergeCell ref="N38:R38"/>
    <mergeCell ref="N39:R39"/>
    <mergeCell ref="AG36:AK36"/>
    <mergeCell ref="AG37:AK37"/>
    <mergeCell ref="T31:AE31"/>
    <mergeCell ref="A53:I53"/>
    <mergeCell ref="AG44:AK44"/>
    <mergeCell ref="AG45:AK45"/>
    <mergeCell ref="AG46:AK46"/>
    <mergeCell ref="AG47:AK47"/>
    <mergeCell ref="AG38:AK38"/>
    <mergeCell ref="AG39:AK39"/>
    <mergeCell ref="T41:AE41"/>
    <mergeCell ref="T42:AE42"/>
    <mergeCell ref="R50:X50"/>
    <mergeCell ref="AG49:AK49"/>
    <mergeCell ref="A50:E50"/>
    <mergeCell ref="F50:I50"/>
    <mergeCell ref="Y50:AA50"/>
    <mergeCell ref="L50:Q50"/>
    <mergeCell ref="AG35:AK35"/>
    <mergeCell ref="T45:AE45"/>
    <mergeCell ref="U36:AE36"/>
    <mergeCell ref="U37:AD37"/>
    <mergeCell ref="T34:T37"/>
    <mergeCell ref="T48:AE48"/>
    <mergeCell ref="AG48:AK48"/>
    <mergeCell ref="T46:AE46"/>
    <mergeCell ref="T47:AE47"/>
    <mergeCell ref="U34:AE34"/>
    <mergeCell ref="U35:AE35"/>
    <mergeCell ref="AG34:AK34"/>
  </mergeCells>
  <printOptions/>
  <pageMargins left="0.5511811023622047" right="0.5905511811023623" top="0.3937007874015748" bottom="0.3937007874015748" header="0" footer="0"/>
  <pageSetup horizontalDpi="600" verticalDpi="600" orientation="portrait" scale="75" r:id="rId4"/>
  <drawing r:id="rId3"/>
  <legacyDrawing r:id="rId2"/>
</worksheet>
</file>

<file path=xl/worksheets/sheet10.xml><?xml version="1.0" encoding="utf-8"?>
<worksheet xmlns="http://schemas.openxmlformats.org/spreadsheetml/2006/main" xmlns:r="http://schemas.openxmlformats.org/officeDocument/2006/relationships">
  <dimension ref="A1:J55"/>
  <sheetViews>
    <sheetView showGridLines="0" zoomScale="120" zoomScaleNormal="120" zoomScalePageLayoutView="0" workbookViewId="0" topLeftCell="B4">
      <selection activeCell="F49" sqref="F49"/>
    </sheetView>
  </sheetViews>
  <sheetFormatPr defaultColWidth="11.421875" defaultRowHeight="12.75"/>
  <cols>
    <col min="1" max="1" width="47.140625" style="117" customWidth="1"/>
    <col min="2" max="2" width="13.7109375" style="117" customWidth="1"/>
    <col min="3" max="3" width="14.7109375" style="170" customWidth="1"/>
    <col min="4" max="4" width="14.7109375" style="117" customWidth="1"/>
    <col min="5" max="5" width="15.8515625" style="117" customWidth="1"/>
    <col min="6" max="7" width="14.7109375" style="117" customWidth="1"/>
    <col min="8" max="16384" width="11.421875" style="117" customWidth="1"/>
  </cols>
  <sheetData>
    <row r="1" spans="1:7" ht="12.75">
      <c r="A1" s="819" t="str">
        <f>+'ANEXO 1'!A1</f>
        <v>CARO PAZ SANTOS</v>
      </c>
      <c r="B1" s="800"/>
      <c r="C1" s="800"/>
      <c r="D1" s="800"/>
      <c r="E1" s="800"/>
      <c r="F1" s="800"/>
      <c r="G1" s="801"/>
    </row>
    <row r="2" spans="1:7" ht="12.75">
      <c r="A2" s="813" t="s">
        <v>251</v>
      </c>
      <c r="B2" s="814"/>
      <c r="C2" s="814"/>
      <c r="D2" s="814"/>
      <c r="E2" s="814"/>
      <c r="F2" s="814"/>
      <c r="G2" s="815"/>
    </row>
    <row r="3" spans="1:7" ht="12.75">
      <c r="A3" s="813" t="s">
        <v>240</v>
      </c>
      <c r="B3" s="814"/>
      <c r="C3" s="814"/>
      <c r="D3" s="814"/>
      <c r="E3" s="814"/>
      <c r="F3" s="814"/>
      <c r="G3" s="815"/>
    </row>
    <row r="4" spans="1:7" ht="12.75">
      <c r="A4" s="813" t="str">
        <f>+'ANEXO 1'!A3</f>
        <v>Año Gravable 2017</v>
      </c>
      <c r="B4" s="814"/>
      <c r="C4" s="814"/>
      <c r="D4" s="814"/>
      <c r="E4" s="814"/>
      <c r="F4" s="814"/>
      <c r="G4" s="815"/>
    </row>
    <row r="5" spans="1:7" ht="12.75">
      <c r="A5" s="813" t="s">
        <v>465</v>
      </c>
      <c r="B5" s="814"/>
      <c r="C5" s="814"/>
      <c r="D5" s="814"/>
      <c r="E5" s="814"/>
      <c r="F5" s="814"/>
      <c r="G5" s="815"/>
    </row>
    <row r="6" spans="1:7" ht="13.5" thickBot="1">
      <c r="A6" s="119"/>
      <c r="B6" s="120"/>
      <c r="C6" s="121"/>
      <c r="D6" s="120"/>
      <c r="E6" s="120"/>
      <c r="F6" s="120"/>
      <c r="G6" s="122"/>
    </row>
    <row r="7" spans="1:7" ht="12.75" customHeight="1">
      <c r="A7" s="811" t="s">
        <v>45</v>
      </c>
      <c r="B7" s="811" t="s">
        <v>40</v>
      </c>
      <c r="C7" s="810" t="s">
        <v>41</v>
      </c>
      <c r="D7" s="811" t="s">
        <v>42</v>
      </c>
      <c r="E7" s="811" t="s">
        <v>43</v>
      </c>
      <c r="F7" s="811" t="s">
        <v>44</v>
      </c>
      <c r="G7" s="811" t="s">
        <v>196</v>
      </c>
    </row>
    <row r="8" spans="1:7" ht="31.5" customHeight="1" thickBot="1">
      <c r="A8" s="812"/>
      <c r="B8" s="812"/>
      <c r="C8" s="812"/>
      <c r="D8" s="812"/>
      <c r="E8" s="812"/>
      <c r="F8" s="812"/>
      <c r="G8" s="812"/>
    </row>
    <row r="9" spans="1:7" ht="13.5" thickBot="1">
      <c r="A9" s="849" t="s">
        <v>233</v>
      </c>
      <c r="B9" s="850"/>
      <c r="C9" s="850"/>
      <c r="D9" s="850"/>
      <c r="E9" s="850"/>
      <c r="F9" s="850"/>
      <c r="G9" s="853"/>
    </row>
    <row r="10" spans="1:7" ht="12.75">
      <c r="A10" s="123" t="s">
        <v>234</v>
      </c>
      <c r="B10" s="124">
        <f>+INFORMACION!C64</f>
        <v>12750000</v>
      </c>
      <c r="C10" s="125">
        <v>0</v>
      </c>
      <c r="D10" s="185">
        <f aca="true" t="shared" si="0" ref="D10:D15">SUM(B10:C10)</f>
        <v>12750000</v>
      </c>
      <c r="E10" s="185">
        <f>+D10*64.21%</f>
        <v>8186774.999999999</v>
      </c>
      <c r="F10" s="185">
        <f>+C10</f>
        <v>0</v>
      </c>
      <c r="G10" s="185">
        <v>892500</v>
      </c>
    </row>
    <row r="11" spans="1:7" ht="12.75">
      <c r="A11" s="123" t="s">
        <v>235</v>
      </c>
      <c r="B11" s="124">
        <f>+INFORMACION!C67</f>
        <v>24000000</v>
      </c>
      <c r="C11" s="125">
        <v>0</v>
      </c>
      <c r="D11" s="185">
        <f t="shared" si="0"/>
        <v>24000000</v>
      </c>
      <c r="E11" s="185">
        <v>0</v>
      </c>
      <c r="F11" s="185">
        <v>0</v>
      </c>
      <c r="G11" s="185">
        <v>0</v>
      </c>
    </row>
    <row r="12" spans="1:7" ht="12.75">
      <c r="A12" s="123" t="s">
        <v>236</v>
      </c>
      <c r="B12" s="124">
        <v>0</v>
      </c>
      <c r="C12" s="125">
        <v>0</v>
      </c>
      <c r="D12" s="185">
        <f t="shared" si="0"/>
        <v>0</v>
      </c>
      <c r="E12" s="185">
        <v>0</v>
      </c>
      <c r="F12" s="185">
        <v>0</v>
      </c>
      <c r="G12" s="185">
        <v>0</v>
      </c>
    </row>
    <row r="13" spans="1:7" ht="12.75">
      <c r="A13" s="123" t="s">
        <v>237</v>
      </c>
      <c r="B13" s="124">
        <v>0</v>
      </c>
      <c r="C13" s="125">
        <v>0</v>
      </c>
      <c r="D13" s="185">
        <f t="shared" si="0"/>
        <v>0</v>
      </c>
      <c r="E13" s="185">
        <v>0</v>
      </c>
      <c r="F13" s="185">
        <v>0</v>
      </c>
      <c r="G13" s="185">
        <v>0</v>
      </c>
    </row>
    <row r="14" spans="1:10" ht="12.75">
      <c r="A14" s="123" t="s">
        <v>238</v>
      </c>
      <c r="B14" s="124">
        <v>0</v>
      </c>
      <c r="C14" s="125">
        <v>0</v>
      </c>
      <c r="D14" s="124">
        <f t="shared" si="0"/>
        <v>0</v>
      </c>
      <c r="E14" s="124">
        <v>0</v>
      </c>
      <c r="F14" s="124">
        <v>0</v>
      </c>
      <c r="G14" s="124">
        <v>0</v>
      </c>
      <c r="J14" s="126"/>
    </row>
    <row r="15" spans="1:7" ht="12.75">
      <c r="A15" s="123"/>
      <c r="B15" s="124">
        <v>0</v>
      </c>
      <c r="C15" s="125">
        <v>0</v>
      </c>
      <c r="D15" s="124">
        <f t="shared" si="0"/>
        <v>0</v>
      </c>
      <c r="E15" s="124">
        <v>0</v>
      </c>
      <c r="F15" s="124">
        <f>+D15</f>
        <v>0</v>
      </c>
      <c r="G15" s="124">
        <v>0</v>
      </c>
    </row>
    <row r="16" spans="1:7" ht="12.75">
      <c r="A16" s="127" t="s">
        <v>185</v>
      </c>
      <c r="B16" s="128">
        <f aca="true" t="shared" si="1" ref="B16:G16">SUM(B10:B15)</f>
        <v>36750000</v>
      </c>
      <c r="C16" s="128">
        <f t="shared" si="1"/>
        <v>0</v>
      </c>
      <c r="D16" s="128">
        <f t="shared" si="1"/>
        <v>36750000</v>
      </c>
      <c r="E16" s="481">
        <f t="shared" si="1"/>
        <v>8186774.999999999</v>
      </c>
      <c r="F16" s="128">
        <f t="shared" si="1"/>
        <v>0</v>
      </c>
      <c r="G16" s="128">
        <f t="shared" si="1"/>
        <v>892500</v>
      </c>
    </row>
    <row r="17" spans="1:7" ht="13.5" thickBot="1">
      <c r="A17" s="123"/>
      <c r="B17" s="124"/>
      <c r="C17" s="125"/>
      <c r="D17" s="316" t="s">
        <v>466</v>
      </c>
      <c r="E17" s="124"/>
      <c r="F17" s="124"/>
      <c r="G17" s="316" t="s">
        <v>464</v>
      </c>
    </row>
    <row r="18" spans="1:7" ht="13.5" thickBot="1">
      <c r="A18" s="849" t="s">
        <v>190</v>
      </c>
      <c r="B18" s="850"/>
      <c r="C18" s="850"/>
      <c r="D18" s="850"/>
      <c r="E18" s="850"/>
      <c r="F18" s="850"/>
      <c r="G18" s="853"/>
    </row>
    <row r="19" spans="1:7" ht="12.75">
      <c r="A19" s="130" t="s">
        <v>191</v>
      </c>
      <c r="B19" s="137"/>
      <c r="C19" s="138"/>
      <c r="D19" s="137"/>
      <c r="E19" s="124">
        <f>+(B10+B11)*0.4*0.16*0</f>
        <v>0</v>
      </c>
      <c r="F19" s="135"/>
      <c r="G19" s="136"/>
    </row>
    <row r="20" spans="1:7" ht="12.75">
      <c r="A20" s="130" t="s">
        <v>192</v>
      </c>
      <c r="B20" s="137"/>
      <c r="C20" s="138"/>
      <c r="D20" s="137"/>
      <c r="E20" s="124">
        <f>+(B10+B11)*0.4*0.125</f>
        <v>1837500</v>
      </c>
      <c r="F20" s="135"/>
      <c r="G20" s="136"/>
    </row>
    <row r="21" spans="1:7" ht="12.75">
      <c r="A21" s="130" t="s">
        <v>239</v>
      </c>
      <c r="B21" s="137"/>
      <c r="C21" s="138"/>
      <c r="D21" s="137"/>
      <c r="E21" s="185">
        <f>+E16</f>
        <v>8186774.999999999</v>
      </c>
      <c r="F21" s="135"/>
      <c r="G21" s="136"/>
    </row>
    <row r="22" spans="1:7" ht="12.75">
      <c r="A22" s="130"/>
      <c r="B22" s="137"/>
      <c r="C22" s="138"/>
      <c r="D22" s="137"/>
      <c r="E22" s="185"/>
      <c r="F22" s="135"/>
      <c r="G22" s="136"/>
    </row>
    <row r="23" spans="1:7" ht="13.5" thickBot="1">
      <c r="A23" s="140" t="s">
        <v>194</v>
      </c>
      <c r="B23" s="141"/>
      <c r="C23" s="142"/>
      <c r="D23" s="141"/>
      <c r="E23" s="482">
        <f>SUM(E19:E22)</f>
        <v>10024275</v>
      </c>
      <c r="F23" s="317" t="s">
        <v>467</v>
      </c>
      <c r="G23" s="144"/>
    </row>
    <row r="24" spans="1:7" ht="13.5" thickBot="1">
      <c r="A24" s="145" t="s">
        <v>195</v>
      </c>
      <c r="B24" s="146"/>
      <c r="C24" s="147"/>
      <c r="D24" s="148">
        <f>+D16-D23</f>
        <v>36750000</v>
      </c>
      <c r="E24" s="148">
        <f>+D24-E23</f>
        <v>26725725</v>
      </c>
      <c r="F24" s="149"/>
      <c r="G24" s="150"/>
    </row>
    <row r="25" spans="1:7" ht="13.5" thickBot="1">
      <c r="A25" s="151"/>
      <c r="B25" s="152"/>
      <c r="C25" s="153"/>
      <c r="D25" s="152"/>
      <c r="E25" s="152"/>
      <c r="F25" s="152"/>
      <c r="G25" s="152"/>
    </row>
    <row r="26" spans="1:7" ht="13.5" thickBot="1">
      <c r="A26" s="849" t="s">
        <v>241</v>
      </c>
      <c r="B26" s="850"/>
      <c r="C26" s="850"/>
      <c r="D26" s="850"/>
      <c r="E26" s="850"/>
      <c r="F26" s="850"/>
      <c r="G26" s="853"/>
    </row>
    <row r="27" spans="1:7" ht="13.5" thickBot="1">
      <c r="A27" s="181" t="s">
        <v>246</v>
      </c>
      <c r="B27" s="188" t="s">
        <v>245</v>
      </c>
      <c r="C27" s="188" t="s">
        <v>244</v>
      </c>
      <c r="D27" s="182" t="s">
        <v>248</v>
      </c>
      <c r="E27" s="182" t="s">
        <v>247</v>
      </c>
      <c r="F27" s="179"/>
      <c r="G27" s="180"/>
    </row>
    <row r="28" spans="1:7" ht="12.75">
      <c r="A28" s="130" t="s">
        <v>636</v>
      </c>
      <c r="B28" s="185">
        <v>0</v>
      </c>
      <c r="C28" s="186">
        <v>0</v>
      </c>
      <c r="D28" s="187">
        <f>SUM(B28:C28)</f>
        <v>0</v>
      </c>
      <c r="E28" s="124">
        <f>+B28</f>
        <v>0</v>
      </c>
      <c r="F28" s="190"/>
      <c r="G28" s="191"/>
    </row>
    <row r="29" spans="1:7" ht="12.75">
      <c r="A29" s="130" t="s">
        <v>243</v>
      </c>
      <c r="B29" s="185">
        <v>5000000</v>
      </c>
      <c r="C29" s="186">
        <v>0</v>
      </c>
      <c r="D29" s="187">
        <f>SUM(B29:C29)</f>
        <v>5000000</v>
      </c>
      <c r="E29" s="124">
        <f>+B29</f>
        <v>5000000</v>
      </c>
      <c r="F29" s="192"/>
      <c r="G29" s="136"/>
    </row>
    <row r="30" spans="1:7" ht="12.75">
      <c r="A30" s="130"/>
      <c r="B30" s="185"/>
      <c r="C30" s="186"/>
      <c r="D30" s="187"/>
      <c r="E30" s="124"/>
      <c r="F30" s="192"/>
      <c r="G30" s="136"/>
    </row>
    <row r="31" spans="1:7" ht="13.5" thickBot="1">
      <c r="A31" s="140" t="s">
        <v>249</v>
      </c>
      <c r="B31" s="189">
        <f>SUM(B28:B30)</f>
        <v>5000000</v>
      </c>
      <c r="C31" s="189">
        <f>SUM(C28:C30)</f>
        <v>0</v>
      </c>
      <c r="D31" s="189">
        <f>SUM(D28:D30)</f>
        <v>5000000</v>
      </c>
      <c r="E31" s="143">
        <f>SUM(E28:E30)</f>
        <v>5000000</v>
      </c>
      <c r="F31" s="327" t="s">
        <v>468</v>
      </c>
      <c r="G31" s="193"/>
    </row>
    <row r="32" spans="1:7" ht="13.5" thickBot="1">
      <c r="A32" s="145" t="s">
        <v>250</v>
      </c>
      <c r="B32" s="146"/>
      <c r="C32" s="147"/>
      <c r="D32" s="148">
        <f>+D24-D31</f>
        <v>31750000</v>
      </c>
      <c r="E32" s="148">
        <f>+E24-E31</f>
        <v>21725725</v>
      </c>
      <c r="F32" s="328" t="s">
        <v>469</v>
      </c>
      <c r="G32" s="150"/>
    </row>
    <row r="33" spans="1:7" ht="13.5" thickBot="1">
      <c r="A33" s="151"/>
      <c r="B33" s="152"/>
      <c r="C33" s="153"/>
      <c r="D33" s="152"/>
      <c r="E33" s="152"/>
      <c r="F33" s="152"/>
      <c r="G33" s="152"/>
    </row>
    <row r="34" spans="1:7" ht="13.5" thickBot="1">
      <c r="A34" s="816" t="s">
        <v>100</v>
      </c>
      <c r="B34" s="818"/>
      <c r="C34" s="818"/>
      <c r="D34" s="818"/>
      <c r="E34" s="818"/>
      <c r="F34" s="818"/>
      <c r="G34" s="817"/>
    </row>
    <row r="35" spans="1:7" ht="26.25" thickBot="1">
      <c r="A35" s="155" t="s">
        <v>209</v>
      </c>
      <c r="B35" s="842"/>
      <c r="C35" s="844"/>
      <c r="D35" s="155" t="s">
        <v>207</v>
      </c>
      <c r="E35" s="156" t="s">
        <v>208</v>
      </c>
      <c r="F35" s="842"/>
      <c r="G35" s="844"/>
    </row>
    <row r="36" spans="1:7" ht="30.75" customHeight="1">
      <c r="A36" s="131" t="s">
        <v>213</v>
      </c>
      <c r="B36" s="845"/>
      <c r="C36" s="846"/>
      <c r="D36" s="139">
        <v>0</v>
      </c>
      <c r="E36" s="139">
        <f>MIN(D36,38231000)</f>
        <v>0</v>
      </c>
      <c r="F36" s="854"/>
      <c r="G36" s="856"/>
    </row>
    <row r="37" spans="1:7" ht="13.5" thickBot="1">
      <c r="A37" s="130"/>
      <c r="B37" s="847"/>
      <c r="C37" s="848"/>
      <c r="D37" s="157"/>
      <c r="E37" s="157"/>
      <c r="F37" s="870"/>
      <c r="G37" s="872"/>
    </row>
    <row r="38" spans="1:7" ht="13.5" thickBot="1">
      <c r="A38" s="158" t="s">
        <v>198</v>
      </c>
      <c r="B38" s="148"/>
      <c r="C38" s="159"/>
      <c r="D38" s="148">
        <f>SUM(D34:D37)</f>
        <v>0</v>
      </c>
      <c r="E38" s="148">
        <f>SUM(E34:E37)</f>
        <v>0</v>
      </c>
      <c r="F38" s="148">
        <f>SUM(F34:F37)</f>
        <v>0</v>
      </c>
      <c r="G38" s="148">
        <f>SUM(G34:G37)</f>
        <v>0</v>
      </c>
    </row>
    <row r="39" spans="1:7" ht="13.5" thickBot="1">
      <c r="A39" s="151"/>
      <c r="B39" s="152"/>
      <c r="C39" s="153"/>
      <c r="D39" s="152"/>
      <c r="E39" s="152"/>
      <c r="F39" s="152"/>
      <c r="G39" s="152"/>
    </row>
    <row r="40" spans="1:7" ht="13.5" thickBot="1">
      <c r="A40" s="864" t="s">
        <v>101</v>
      </c>
      <c r="B40" s="865"/>
      <c r="C40" s="865"/>
      <c r="D40" s="865"/>
      <c r="E40" s="865"/>
      <c r="F40" s="865"/>
      <c r="G40" s="866"/>
    </row>
    <row r="41" spans="1:7" ht="12.75">
      <c r="A41" s="130" t="s">
        <v>224</v>
      </c>
      <c r="B41" s="854"/>
      <c r="C41" s="855"/>
      <c r="D41" s="855"/>
      <c r="E41" s="856"/>
      <c r="F41" s="152">
        <v>0</v>
      </c>
      <c r="G41" s="890"/>
    </row>
    <row r="42" spans="1:7" ht="12.75">
      <c r="A42" s="130" t="s">
        <v>225</v>
      </c>
      <c r="B42" s="854"/>
      <c r="C42" s="855"/>
      <c r="D42" s="855"/>
      <c r="E42" s="856"/>
      <c r="F42" s="152">
        <v>0</v>
      </c>
      <c r="G42" s="891"/>
    </row>
    <row r="43" spans="1:7" ht="13.5" thickBot="1">
      <c r="A43" s="130"/>
      <c r="B43" s="854"/>
      <c r="C43" s="855"/>
      <c r="D43" s="855"/>
      <c r="E43" s="856"/>
      <c r="F43" s="152"/>
      <c r="G43" s="891"/>
    </row>
    <row r="44" spans="1:7" ht="13.5" thickBot="1">
      <c r="A44" s="158" t="s">
        <v>199</v>
      </c>
      <c r="B44" s="867"/>
      <c r="C44" s="868"/>
      <c r="D44" s="868"/>
      <c r="E44" s="869"/>
      <c r="F44" s="183">
        <f>SUM(F41:F43)</f>
        <v>0</v>
      </c>
      <c r="G44" s="184"/>
    </row>
    <row r="45" spans="1:7" ht="12.75">
      <c r="A45" s="165"/>
      <c r="B45" s="152"/>
      <c r="C45" s="153"/>
      <c r="D45" s="152"/>
      <c r="E45" s="152"/>
      <c r="F45" s="152"/>
      <c r="G45" s="152"/>
    </row>
    <row r="46" spans="1:7" ht="12.75">
      <c r="A46" s="166" t="s">
        <v>203</v>
      </c>
      <c r="B46" s="873"/>
      <c r="C46" s="874"/>
      <c r="D46" s="875"/>
      <c r="E46" s="99"/>
      <c r="F46" s="100">
        <f>+E38+F44</f>
        <v>0</v>
      </c>
      <c r="G46" s="321"/>
    </row>
    <row r="47" spans="1:7" ht="48" customHeight="1">
      <c r="A47" s="167" t="s">
        <v>470</v>
      </c>
      <c r="B47" s="876"/>
      <c r="C47" s="877"/>
      <c r="D47" s="878"/>
      <c r="E47" s="168">
        <f>+E32*10%</f>
        <v>2172572.5</v>
      </c>
      <c r="F47" s="168">
        <f>MIN(E47,31859000)</f>
        <v>2172572.5</v>
      </c>
      <c r="G47" s="323"/>
    </row>
    <row r="48" spans="1:7" ht="12.75">
      <c r="A48" s="166" t="s">
        <v>204</v>
      </c>
      <c r="B48" s="876"/>
      <c r="C48" s="877"/>
      <c r="D48" s="878"/>
      <c r="E48" s="99"/>
      <c r="F48" s="100">
        <f>MIN(F46:F47)</f>
        <v>0</v>
      </c>
      <c r="G48" s="323"/>
    </row>
    <row r="49" spans="1:7" ht="12.75">
      <c r="A49" s="166" t="s">
        <v>205</v>
      </c>
      <c r="B49" s="876"/>
      <c r="C49" s="877"/>
      <c r="D49" s="878"/>
      <c r="E49" s="99"/>
      <c r="F49" s="100">
        <f>+E32-F48</f>
        <v>21725725</v>
      </c>
      <c r="G49" s="329" t="s">
        <v>471</v>
      </c>
    </row>
    <row r="50" spans="1:7" ht="12.75">
      <c r="A50" s="166" t="s">
        <v>206</v>
      </c>
      <c r="B50" s="879"/>
      <c r="C50" s="880"/>
      <c r="D50" s="881"/>
      <c r="E50" s="100">
        <v>31859</v>
      </c>
      <c r="F50" s="169">
        <f>+F49/E50</f>
        <v>681.9336765121316</v>
      </c>
      <c r="G50" s="323"/>
    </row>
    <row r="52" ht="12.75">
      <c r="F52" s="30"/>
    </row>
    <row r="54" ht="12.75">
      <c r="F54" s="194"/>
    </row>
    <row r="55" ht="12.75">
      <c r="F55" s="30"/>
    </row>
  </sheetData>
  <sheetProtection/>
  <mergeCells count="24">
    <mergeCell ref="B46:D50"/>
    <mergeCell ref="B35:C35"/>
    <mergeCell ref="F35:G37"/>
    <mergeCell ref="B36:C37"/>
    <mergeCell ref="A40:G40"/>
    <mergeCell ref="G41:G43"/>
    <mergeCell ref="B41:E43"/>
    <mergeCell ref="B44:E44"/>
    <mergeCell ref="A9:G9"/>
    <mergeCell ref="A18:G18"/>
    <mergeCell ref="A34:G34"/>
    <mergeCell ref="A26:G26"/>
    <mergeCell ref="B7:B8"/>
    <mergeCell ref="C7:C8"/>
    <mergeCell ref="A1:G1"/>
    <mergeCell ref="A2:G2"/>
    <mergeCell ref="A3:G3"/>
    <mergeCell ref="A4:G4"/>
    <mergeCell ref="A7:A8"/>
    <mergeCell ref="D7:D8"/>
    <mergeCell ref="E7:E8"/>
    <mergeCell ref="F7:F8"/>
    <mergeCell ref="A5:G5"/>
    <mergeCell ref="G7:G8"/>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J79"/>
  <sheetViews>
    <sheetView showGridLines="0" zoomScale="130" zoomScaleNormal="130" zoomScalePageLayoutView="0" workbookViewId="0" topLeftCell="B68">
      <selection activeCell="F79" sqref="F79"/>
    </sheetView>
  </sheetViews>
  <sheetFormatPr defaultColWidth="11.421875" defaultRowHeight="12.75"/>
  <cols>
    <col min="1" max="1" width="51.28125" style="117" customWidth="1"/>
    <col min="2" max="2" width="13.7109375" style="117" customWidth="1"/>
    <col min="3" max="3" width="14.7109375" style="170" customWidth="1"/>
    <col min="4" max="4" width="14.7109375" style="117" customWidth="1"/>
    <col min="5" max="5" width="15.8515625" style="117" customWidth="1"/>
    <col min="6" max="7" width="14.7109375" style="117" customWidth="1"/>
    <col min="8" max="16384" width="11.421875" style="117" customWidth="1"/>
  </cols>
  <sheetData>
    <row r="1" spans="1:7" ht="12.75">
      <c r="A1" s="819" t="str">
        <f>+'ANEXO 1'!A1</f>
        <v>CARO PAZ SANTOS</v>
      </c>
      <c r="B1" s="800"/>
      <c r="C1" s="800"/>
      <c r="D1" s="800"/>
      <c r="E1" s="800"/>
      <c r="F1" s="800"/>
      <c r="G1" s="801"/>
    </row>
    <row r="2" spans="1:7" ht="12.75">
      <c r="A2" s="813" t="s">
        <v>252</v>
      </c>
      <c r="B2" s="814"/>
      <c r="C2" s="814"/>
      <c r="D2" s="814"/>
      <c r="E2" s="814"/>
      <c r="F2" s="814"/>
      <c r="G2" s="815"/>
    </row>
    <row r="3" spans="1:7" ht="12.75">
      <c r="A3" s="813" t="s">
        <v>253</v>
      </c>
      <c r="B3" s="814"/>
      <c r="C3" s="814"/>
      <c r="D3" s="814"/>
      <c r="E3" s="814"/>
      <c r="F3" s="814"/>
      <c r="G3" s="815"/>
    </row>
    <row r="4" spans="1:7" ht="12.75">
      <c r="A4" s="813" t="str">
        <f>+'ANEXO 1'!A3</f>
        <v>Año Gravable 2017</v>
      </c>
      <c r="B4" s="814"/>
      <c r="C4" s="814"/>
      <c r="D4" s="814"/>
      <c r="E4" s="814"/>
      <c r="F4" s="814"/>
      <c r="G4" s="815"/>
    </row>
    <row r="5" spans="1:7" ht="12.75">
      <c r="A5" s="813" t="s">
        <v>479</v>
      </c>
      <c r="B5" s="814"/>
      <c r="C5" s="814"/>
      <c r="D5" s="814"/>
      <c r="E5" s="814"/>
      <c r="F5" s="814"/>
      <c r="G5" s="815"/>
    </row>
    <row r="6" spans="1:7" ht="13.5" thickBot="1">
      <c r="A6" s="119"/>
      <c r="B6" s="120"/>
      <c r="C6" s="121"/>
      <c r="D6" s="120"/>
      <c r="E6" s="120"/>
      <c r="F6" s="120"/>
      <c r="G6" s="122"/>
    </row>
    <row r="7" spans="1:7" ht="12.75" customHeight="1">
      <c r="A7" s="811" t="s">
        <v>45</v>
      </c>
      <c r="B7" s="811" t="s">
        <v>40</v>
      </c>
      <c r="C7" s="810" t="s">
        <v>41</v>
      </c>
      <c r="D7" s="811" t="s">
        <v>42</v>
      </c>
      <c r="E7" s="811" t="s">
        <v>43</v>
      </c>
      <c r="F7" s="811" t="s">
        <v>44</v>
      </c>
      <c r="G7" s="811" t="s">
        <v>196</v>
      </c>
    </row>
    <row r="8" spans="1:7" ht="31.5" customHeight="1" thickBot="1">
      <c r="A8" s="812"/>
      <c r="B8" s="812"/>
      <c r="C8" s="812"/>
      <c r="D8" s="812"/>
      <c r="E8" s="812"/>
      <c r="F8" s="812"/>
      <c r="G8" s="812"/>
    </row>
    <row r="9" spans="1:7" ht="13.5" thickBot="1">
      <c r="A9" s="849" t="s">
        <v>254</v>
      </c>
      <c r="B9" s="850"/>
      <c r="C9" s="850"/>
      <c r="D9" s="850"/>
      <c r="E9" s="850"/>
      <c r="F9" s="850"/>
      <c r="G9" s="853"/>
    </row>
    <row r="10" spans="1:7" ht="12.75">
      <c r="A10" s="123" t="s">
        <v>637</v>
      </c>
      <c r="B10" s="124">
        <v>1200000000</v>
      </c>
      <c r="C10" s="125">
        <v>0</v>
      </c>
      <c r="D10" s="124">
        <f aca="true" t="shared" si="0" ref="D10:D17">SUM(B10:C10)</f>
        <v>1200000000</v>
      </c>
      <c r="E10" s="124">
        <v>0</v>
      </c>
      <c r="F10" s="124">
        <f>+C10</f>
        <v>0</v>
      </c>
      <c r="G10" s="124">
        <v>10450000</v>
      </c>
    </row>
    <row r="11" spans="1:7" ht="12.75">
      <c r="A11" s="123" t="s">
        <v>255</v>
      </c>
      <c r="B11" s="124">
        <v>0</v>
      </c>
      <c r="C11" s="125">
        <v>0</v>
      </c>
      <c r="D11" s="124">
        <f t="shared" si="0"/>
        <v>0</v>
      </c>
      <c r="E11" s="124">
        <v>0</v>
      </c>
      <c r="F11" s="124">
        <v>0</v>
      </c>
      <c r="G11" s="124"/>
    </row>
    <row r="12" spans="1:7" ht="12.75">
      <c r="A12" s="123" t="s">
        <v>256</v>
      </c>
      <c r="B12" s="124">
        <v>0</v>
      </c>
      <c r="C12" s="125">
        <v>0</v>
      </c>
      <c r="D12" s="124">
        <f t="shared" si="0"/>
        <v>0</v>
      </c>
      <c r="E12" s="124">
        <v>0</v>
      </c>
      <c r="F12" s="124">
        <v>0</v>
      </c>
      <c r="G12" s="124"/>
    </row>
    <row r="13" spans="1:7" ht="12.75">
      <c r="A13" s="123" t="s">
        <v>257</v>
      </c>
      <c r="B13" s="124">
        <v>0</v>
      </c>
      <c r="C13" s="125">
        <v>0</v>
      </c>
      <c r="D13" s="124">
        <f t="shared" si="0"/>
        <v>0</v>
      </c>
      <c r="E13" s="124">
        <v>0</v>
      </c>
      <c r="F13" s="124">
        <v>0</v>
      </c>
      <c r="G13" s="124"/>
    </row>
    <row r="14" spans="1:10" ht="12.75">
      <c r="A14" s="123" t="s">
        <v>258</v>
      </c>
      <c r="B14" s="124">
        <v>0</v>
      </c>
      <c r="C14" s="125">
        <v>0</v>
      </c>
      <c r="D14" s="124">
        <f t="shared" si="0"/>
        <v>0</v>
      </c>
      <c r="E14" s="124">
        <v>0</v>
      </c>
      <c r="F14" s="124">
        <v>0</v>
      </c>
      <c r="G14" s="124"/>
      <c r="J14" s="126"/>
    </row>
    <row r="15" spans="1:10" ht="12.75">
      <c r="A15" s="123" t="s">
        <v>259</v>
      </c>
      <c r="B15" s="124">
        <v>0</v>
      </c>
      <c r="C15" s="125">
        <v>0</v>
      </c>
      <c r="D15" s="124">
        <f t="shared" si="0"/>
        <v>0</v>
      </c>
      <c r="E15" s="124">
        <v>0</v>
      </c>
      <c r="F15" s="124">
        <v>0</v>
      </c>
      <c r="G15" s="124"/>
      <c r="J15" s="126"/>
    </row>
    <row r="16" spans="1:10" ht="25.5">
      <c r="A16" s="171" t="s">
        <v>260</v>
      </c>
      <c r="B16" s="139">
        <v>0</v>
      </c>
      <c r="C16" s="276">
        <v>0</v>
      </c>
      <c r="D16" s="139">
        <f t="shared" si="0"/>
        <v>0</v>
      </c>
      <c r="E16" s="139">
        <v>0</v>
      </c>
      <c r="F16" s="139">
        <v>0</v>
      </c>
      <c r="G16" s="124"/>
      <c r="J16" s="126"/>
    </row>
    <row r="17" spans="1:7" ht="12.75">
      <c r="A17" s="123" t="s">
        <v>238</v>
      </c>
      <c r="B17" s="124">
        <v>0</v>
      </c>
      <c r="C17" s="125">
        <v>0</v>
      </c>
      <c r="D17" s="124">
        <f t="shared" si="0"/>
        <v>0</v>
      </c>
      <c r="E17" s="124">
        <v>0</v>
      </c>
      <c r="F17" s="124">
        <f>+D17</f>
        <v>0</v>
      </c>
      <c r="G17" s="124"/>
    </row>
    <row r="18" spans="1:7" ht="12.75">
      <c r="A18" s="127" t="s">
        <v>261</v>
      </c>
      <c r="B18" s="128">
        <f aca="true" t="shared" si="1" ref="B18:G18">SUM(B10:B17)</f>
        <v>1200000000</v>
      </c>
      <c r="C18" s="128">
        <f t="shared" si="1"/>
        <v>0</v>
      </c>
      <c r="D18" s="128">
        <f t="shared" si="1"/>
        <v>1200000000</v>
      </c>
      <c r="E18" s="128">
        <f t="shared" si="1"/>
        <v>0</v>
      </c>
      <c r="F18" s="128">
        <f t="shared" si="1"/>
        <v>0</v>
      </c>
      <c r="G18" s="128">
        <f t="shared" si="1"/>
        <v>10450000</v>
      </c>
    </row>
    <row r="19" spans="1:7" ht="13.5" thickBot="1">
      <c r="A19" s="123"/>
      <c r="B19" s="124"/>
      <c r="C19" s="125"/>
      <c r="D19" s="316" t="s">
        <v>472</v>
      </c>
      <c r="E19" s="124"/>
      <c r="F19" s="124"/>
      <c r="G19" s="316" t="s">
        <v>464</v>
      </c>
    </row>
    <row r="20" spans="1:7" ht="13.5" thickBot="1">
      <c r="A20" s="849" t="s">
        <v>190</v>
      </c>
      <c r="B20" s="850"/>
      <c r="C20" s="850"/>
      <c r="D20" s="850"/>
      <c r="E20" s="850"/>
      <c r="F20" s="850"/>
      <c r="G20" s="853"/>
    </row>
    <row r="21" spans="1:7" ht="12.75">
      <c r="A21" s="130" t="s">
        <v>191</v>
      </c>
      <c r="B21" s="137"/>
      <c r="C21" s="138"/>
      <c r="D21" s="137"/>
      <c r="E21" s="124">
        <v>0</v>
      </c>
      <c r="F21" s="135"/>
      <c r="G21" s="136"/>
    </row>
    <row r="22" spans="1:7" ht="12.75">
      <c r="A22" s="130" t="s">
        <v>192</v>
      </c>
      <c r="B22" s="137"/>
      <c r="C22" s="138"/>
      <c r="D22" s="137"/>
      <c r="E22" s="124">
        <f>((D18)*40%)*12.5%</f>
        <v>60000000</v>
      </c>
      <c r="F22" s="135"/>
      <c r="G22" s="136"/>
    </row>
    <row r="23" spans="1:7" ht="12.75">
      <c r="A23" s="123" t="s">
        <v>255</v>
      </c>
      <c r="B23" s="137"/>
      <c r="C23" s="138"/>
      <c r="D23" s="137"/>
      <c r="E23" s="124">
        <v>0</v>
      </c>
      <c r="F23" s="135"/>
      <c r="G23" s="136"/>
    </row>
    <row r="24" spans="1:7" ht="12.75">
      <c r="A24" s="123" t="s">
        <v>256</v>
      </c>
      <c r="B24" s="137"/>
      <c r="C24" s="138"/>
      <c r="D24" s="137"/>
      <c r="E24" s="124">
        <v>0</v>
      </c>
      <c r="F24" s="135"/>
      <c r="G24" s="136"/>
    </row>
    <row r="25" spans="1:7" ht="13.5" thickBot="1">
      <c r="A25" s="140" t="s">
        <v>194</v>
      </c>
      <c r="B25" s="141"/>
      <c r="C25" s="142"/>
      <c r="D25" s="141"/>
      <c r="E25" s="143">
        <f>SUM(E21:E24)</f>
        <v>60000000</v>
      </c>
      <c r="F25" s="317" t="s">
        <v>473</v>
      </c>
      <c r="G25" s="144"/>
    </row>
    <row r="26" spans="1:7" ht="13.5" thickBot="1">
      <c r="A26" s="145" t="s">
        <v>195</v>
      </c>
      <c r="B26" s="146"/>
      <c r="C26" s="147"/>
      <c r="D26" s="148">
        <f>+D18-D25</f>
        <v>1200000000</v>
      </c>
      <c r="E26" s="148">
        <f>+D26-E25</f>
        <v>1140000000</v>
      </c>
      <c r="F26" s="149"/>
      <c r="G26" s="150"/>
    </row>
    <row r="27" spans="1:7" ht="13.5" thickBot="1">
      <c r="A27" s="151"/>
      <c r="B27" s="152"/>
      <c r="C27" s="153"/>
      <c r="D27" s="152"/>
      <c r="E27" s="152"/>
      <c r="F27" s="152"/>
      <c r="G27" s="152"/>
    </row>
    <row r="28" spans="1:7" ht="13.5" thickBot="1">
      <c r="A28" s="849" t="s">
        <v>262</v>
      </c>
      <c r="B28" s="850"/>
      <c r="C28" s="850"/>
      <c r="D28" s="850"/>
      <c r="E28" s="850"/>
      <c r="F28" s="850"/>
      <c r="G28" s="853"/>
    </row>
    <row r="29" spans="1:7" ht="13.5" thickBot="1">
      <c r="A29" s="181" t="s">
        <v>246</v>
      </c>
      <c r="B29" s="188" t="s">
        <v>245</v>
      </c>
      <c r="C29" s="188" t="s">
        <v>244</v>
      </c>
      <c r="D29" s="182" t="s">
        <v>248</v>
      </c>
      <c r="E29" s="182" t="s">
        <v>247</v>
      </c>
      <c r="F29" s="179"/>
      <c r="G29" s="180"/>
    </row>
    <row r="30" spans="1:8" ht="12.75">
      <c r="A30" s="130" t="s">
        <v>242</v>
      </c>
      <c r="B30" s="185">
        <v>622456000</v>
      </c>
      <c r="C30" s="186">
        <v>0</v>
      </c>
      <c r="D30" s="187">
        <f>SUM(B30:C30)</f>
        <v>622456000</v>
      </c>
      <c r="E30" s="124">
        <f>+B30</f>
        <v>622456000</v>
      </c>
      <c r="F30" s="190"/>
      <c r="G30" s="191"/>
      <c r="H30" s="117" t="s">
        <v>638</v>
      </c>
    </row>
    <row r="31" spans="1:7" ht="12.75">
      <c r="A31" s="130" t="s">
        <v>243</v>
      </c>
      <c r="B31" s="185">
        <v>0</v>
      </c>
      <c r="C31" s="186">
        <v>0</v>
      </c>
      <c r="D31" s="187">
        <f>SUM(B31:C31)</f>
        <v>0</v>
      </c>
      <c r="E31" s="124">
        <f>+B31</f>
        <v>0</v>
      </c>
      <c r="F31" s="192"/>
      <c r="G31" s="136"/>
    </row>
    <row r="32" spans="1:7" ht="12.75">
      <c r="A32" s="130"/>
      <c r="B32" s="185">
        <v>0</v>
      </c>
      <c r="C32" s="186">
        <v>0</v>
      </c>
      <c r="D32" s="187">
        <v>0</v>
      </c>
      <c r="E32" s="124">
        <v>0</v>
      </c>
      <c r="F32" s="192"/>
      <c r="G32" s="136"/>
    </row>
    <row r="33" spans="1:7" ht="13.5" thickBot="1">
      <c r="A33" s="140" t="s">
        <v>249</v>
      </c>
      <c r="B33" s="189">
        <f>SUM(B30:B32)</f>
        <v>622456000</v>
      </c>
      <c r="C33" s="189">
        <f>SUM(C30:C32)</f>
        <v>0</v>
      </c>
      <c r="D33" s="189">
        <f>SUM(D30:D32)</f>
        <v>622456000</v>
      </c>
      <c r="E33" s="143">
        <f>SUM(E30:E32)</f>
        <v>622456000</v>
      </c>
      <c r="F33" s="327" t="s">
        <v>474</v>
      </c>
      <c r="G33" s="193"/>
    </row>
    <row r="34" spans="1:7" ht="13.5" thickBot="1">
      <c r="A34" s="145" t="s">
        <v>250</v>
      </c>
      <c r="B34" s="146"/>
      <c r="C34" s="147"/>
      <c r="D34" s="148"/>
      <c r="E34" s="148">
        <f>+E26-E33</f>
        <v>517544000</v>
      </c>
      <c r="F34" s="328" t="s">
        <v>475</v>
      </c>
      <c r="G34" s="150"/>
    </row>
    <row r="35" spans="1:7" ht="13.5" thickBot="1">
      <c r="A35" s="151"/>
      <c r="B35" s="152"/>
      <c r="C35" s="153"/>
      <c r="D35" s="152"/>
      <c r="E35" s="152"/>
      <c r="F35" s="152"/>
      <c r="G35" s="152"/>
    </row>
    <row r="36" spans="1:7" ht="13.5" thickBot="1">
      <c r="A36" s="816" t="s">
        <v>100</v>
      </c>
      <c r="B36" s="818"/>
      <c r="C36" s="818"/>
      <c r="D36" s="818"/>
      <c r="E36" s="818"/>
      <c r="F36" s="818"/>
      <c r="G36" s="817"/>
    </row>
    <row r="37" spans="1:7" ht="26.25" thickBot="1">
      <c r="A37" s="155" t="s">
        <v>209</v>
      </c>
      <c r="B37" s="842"/>
      <c r="C37" s="844"/>
      <c r="D37" s="155" t="s">
        <v>207</v>
      </c>
      <c r="E37" s="156" t="s">
        <v>208</v>
      </c>
      <c r="F37" s="842"/>
      <c r="G37" s="844"/>
    </row>
    <row r="38" spans="1:7" ht="30.75" customHeight="1">
      <c r="A38" s="131" t="s">
        <v>213</v>
      </c>
      <c r="B38" s="845"/>
      <c r="C38" s="846"/>
      <c r="D38" s="139">
        <v>0</v>
      </c>
      <c r="E38" s="139">
        <f>MIN(D38,38231000)</f>
        <v>0</v>
      </c>
      <c r="F38" s="854"/>
      <c r="G38" s="856"/>
    </row>
    <row r="39" spans="1:7" ht="25.5">
      <c r="A39" s="131" t="s">
        <v>263</v>
      </c>
      <c r="B39" s="845"/>
      <c r="C39" s="846"/>
      <c r="D39" s="139">
        <v>0</v>
      </c>
      <c r="E39" s="139">
        <v>0</v>
      </c>
      <c r="F39" s="854"/>
      <c r="G39" s="856"/>
    </row>
    <row r="40" spans="1:7" ht="13.5" thickBot="1">
      <c r="A40" s="130"/>
      <c r="B40" s="847"/>
      <c r="C40" s="848"/>
      <c r="D40" s="157">
        <v>0</v>
      </c>
      <c r="E40" s="157">
        <v>0</v>
      </c>
      <c r="F40" s="870"/>
      <c r="G40" s="872"/>
    </row>
    <row r="41" spans="1:7" ht="13.5" thickBot="1">
      <c r="A41" s="158" t="s">
        <v>198</v>
      </c>
      <c r="B41" s="148"/>
      <c r="C41" s="159"/>
      <c r="D41" s="148">
        <f>SUM(D36:D40)</f>
        <v>0</v>
      </c>
      <c r="E41" s="148">
        <f>SUM(E36:E40)</f>
        <v>0</v>
      </c>
      <c r="F41" s="148">
        <f>SUM(F36:F40)</f>
        <v>0</v>
      </c>
      <c r="G41" s="148">
        <f>SUM(G36:G40)</f>
        <v>0</v>
      </c>
    </row>
    <row r="42" spans="1:7" ht="13.5" thickBot="1">
      <c r="A42" s="151"/>
      <c r="B42" s="152"/>
      <c r="C42" s="153"/>
      <c r="D42" s="152"/>
      <c r="E42" s="152"/>
      <c r="F42" s="152"/>
      <c r="G42" s="152"/>
    </row>
    <row r="43" spans="1:7" ht="13.5" thickBot="1">
      <c r="A43" s="864" t="s">
        <v>101</v>
      </c>
      <c r="B43" s="865"/>
      <c r="C43" s="865"/>
      <c r="D43" s="865"/>
      <c r="E43" s="865"/>
      <c r="F43" s="865"/>
      <c r="G43" s="866"/>
    </row>
    <row r="44" spans="1:7" ht="12.75">
      <c r="A44" s="130" t="s">
        <v>224</v>
      </c>
      <c r="B44" s="854"/>
      <c r="C44" s="855"/>
      <c r="D44" s="855"/>
      <c r="E44" s="856"/>
      <c r="F44" s="152">
        <v>0</v>
      </c>
      <c r="G44" s="890"/>
    </row>
    <row r="45" spans="1:7" ht="12.75">
      <c r="A45" s="130" t="s">
        <v>264</v>
      </c>
      <c r="B45" s="854"/>
      <c r="C45" s="855"/>
      <c r="D45" s="855"/>
      <c r="E45" s="856"/>
      <c r="F45" s="152">
        <v>0</v>
      </c>
      <c r="G45" s="891"/>
    </row>
    <row r="46" spans="1:7" ht="13.5" thickBot="1">
      <c r="A46" s="130"/>
      <c r="B46" s="854"/>
      <c r="C46" s="855"/>
      <c r="D46" s="855"/>
      <c r="E46" s="856"/>
      <c r="F46" s="152">
        <v>0</v>
      </c>
      <c r="G46" s="891"/>
    </row>
    <row r="47" spans="1:7" ht="13.5" thickBot="1">
      <c r="A47" s="158" t="s">
        <v>199</v>
      </c>
      <c r="B47" s="867"/>
      <c r="C47" s="868"/>
      <c r="D47" s="868"/>
      <c r="E47" s="869"/>
      <c r="F47" s="183">
        <f>SUM(F44:F46)</f>
        <v>0</v>
      </c>
      <c r="G47" s="184"/>
    </row>
    <row r="48" spans="1:7" ht="13.5" thickBot="1">
      <c r="A48" s="151"/>
      <c r="B48" s="277"/>
      <c r="C48" s="277"/>
      <c r="D48" s="277"/>
      <c r="E48" s="277"/>
      <c r="F48" s="278"/>
      <c r="G48" s="277"/>
    </row>
    <row r="49" spans="1:7" ht="12.75">
      <c r="A49" s="894" t="s">
        <v>133</v>
      </c>
      <c r="B49" s="851"/>
      <c r="C49" s="851"/>
      <c r="D49" s="851"/>
      <c r="E49" s="851"/>
      <c r="F49" s="851"/>
      <c r="G49" s="852"/>
    </row>
    <row r="50" spans="1:7" ht="12.75">
      <c r="A50" s="279" t="s">
        <v>376</v>
      </c>
      <c r="B50" s="873"/>
      <c r="C50" s="874"/>
      <c r="D50" s="874"/>
      <c r="E50" s="875"/>
      <c r="F50" s="100">
        <v>0</v>
      </c>
      <c r="G50" s="280"/>
    </row>
    <row r="51" spans="1:7" ht="12.75">
      <c r="A51" s="279" t="s">
        <v>377</v>
      </c>
      <c r="B51" s="879"/>
      <c r="C51" s="880"/>
      <c r="D51" s="880"/>
      <c r="E51" s="881"/>
      <c r="F51" s="100">
        <v>0</v>
      </c>
      <c r="G51" s="280"/>
    </row>
    <row r="52" spans="1:7" ht="12.75">
      <c r="A52" s="166" t="s">
        <v>378</v>
      </c>
      <c r="B52" s="897"/>
      <c r="C52" s="898"/>
      <c r="D52" s="898"/>
      <c r="E52" s="899"/>
      <c r="F52" s="100">
        <f>SUM(F50:F51)</f>
        <v>0</v>
      </c>
      <c r="G52" s="280"/>
    </row>
    <row r="53" spans="1:7" ht="13.5" thickBot="1">
      <c r="A53" s="151"/>
      <c r="B53" s="277"/>
      <c r="C53" s="277"/>
      <c r="D53" s="277"/>
      <c r="E53" s="277"/>
      <c r="F53" s="278"/>
      <c r="G53" s="277"/>
    </row>
    <row r="54" spans="1:7" ht="13.5" thickBot="1">
      <c r="A54" s="849" t="s">
        <v>134</v>
      </c>
      <c r="B54" s="850"/>
      <c r="C54" s="850"/>
      <c r="D54" s="850"/>
      <c r="E54" s="850"/>
      <c r="F54" s="850"/>
      <c r="G54" s="853"/>
    </row>
    <row r="55" spans="1:7" ht="12.75">
      <c r="A55" s="281" t="s">
        <v>373</v>
      </c>
      <c r="B55" s="895"/>
      <c r="C55" s="885"/>
      <c r="D55" s="885"/>
      <c r="E55" s="896"/>
      <c r="F55" s="283">
        <v>0</v>
      </c>
      <c r="G55" s="282"/>
    </row>
    <row r="56" spans="1:7" ht="12.75">
      <c r="A56" s="279" t="s">
        <v>367</v>
      </c>
      <c r="B56" s="876"/>
      <c r="C56" s="877"/>
      <c r="D56" s="877"/>
      <c r="E56" s="878"/>
      <c r="F56" s="100">
        <f>+'ANEXO 5'!F14</f>
        <v>0</v>
      </c>
      <c r="G56" s="330"/>
    </row>
    <row r="57" spans="1:7" ht="12.75">
      <c r="A57" s="279" t="s">
        <v>374</v>
      </c>
      <c r="B57" s="876"/>
      <c r="C57" s="877"/>
      <c r="D57" s="877"/>
      <c r="E57" s="878"/>
      <c r="F57" s="100">
        <v>0</v>
      </c>
      <c r="G57" s="280"/>
    </row>
    <row r="58" spans="1:7" ht="12.75">
      <c r="A58" s="279" t="s">
        <v>375</v>
      </c>
      <c r="B58" s="879"/>
      <c r="C58" s="880"/>
      <c r="D58" s="880"/>
      <c r="E58" s="881"/>
      <c r="F58" s="100">
        <v>0</v>
      </c>
      <c r="G58" s="280"/>
    </row>
    <row r="59" spans="1:7" ht="12.75">
      <c r="A59" s="166" t="s">
        <v>379</v>
      </c>
      <c r="B59" s="897"/>
      <c r="C59" s="898"/>
      <c r="D59" s="898"/>
      <c r="E59" s="899"/>
      <c r="F59" s="100">
        <f>SUM(F55:F58)</f>
        <v>0</v>
      </c>
      <c r="G59" s="330" t="s">
        <v>476</v>
      </c>
    </row>
    <row r="60" spans="1:7" ht="12.75">
      <c r="A60" s="165"/>
      <c r="B60" s="152"/>
      <c r="C60" s="153"/>
      <c r="D60" s="152"/>
      <c r="E60" s="152"/>
      <c r="F60" s="152"/>
      <c r="G60" s="152"/>
    </row>
    <row r="61" spans="1:7" ht="12.75">
      <c r="A61" s="166" t="s">
        <v>203</v>
      </c>
      <c r="B61" s="320"/>
      <c r="C61" s="450"/>
      <c r="D61" s="321"/>
      <c r="E61" s="99"/>
      <c r="F61" s="100">
        <f>+E41+F47</f>
        <v>0</v>
      </c>
      <c r="G61" s="321"/>
    </row>
    <row r="62" spans="1:7" ht="29.25" customHeight="1">
      <c r="A62" s="167" t="s">
        <v>386</v>
      </c>
      <c r="B62" s="322"/>
      <c r="C62" s="451"/>
      <c r="D62" s="323"/>
      <c r="E62" s="168">
        <f>+E34*10%</f>
        <v>51754400</v>
      </c>
      <c r="F62" s="168">
        <f>MIN(E62,31859000)</f>
        <v>31859000</v>
      </c>
      <c r="G62" s="323"/>
    </row>
    <row r="63" spans="1:7" ht="12.75">
      <c r="A63" s="166" t="s">
        <v>204</v>
      </c>
      <c r="B63" s="322"/>
      <c r="C63" s="451"/>
      <c r="D63" s="323"/>
      <c r="E63" s="99"/>
      <c r="F63" s="100">
        <f>MIN(F61:F62)</f>
        <v>0</v>
      </c>
      <c r="G63" s="323"/>
    </row>
    <row r="64" spans="1:7" ht="12.75">
      <c r="A64" s="166" t="s">
        <v>265</v>
      </c>
      <c r="B64" s="322"/>
      <c r="C64" s="451"/>
      <c r="D64" s="323"/>
      <c r="E64" s="99"/>
      <c r="F64" s="100">
        <f>+E34-F63</f>
        <v>517544000</v>
      </c>
      <c r="G64" s="323"/>
    </row>
    <row r="65" spans="1:7" ht="12.75">
      <c r="A65" s="166" t="s">
        <v>380</v>
      </c>
      <c r="B65" s="322"/>
      <c r="C65" s="451"/>
      <c r="D65" s="323"/>
      <c r="E65" s="99"/>
      <c r="F65" s="100">
        <f>+F59</f>
        <v>0</v>
      </c>
      <c r="G65" s="329" t="s">
        <v>476</v>
      </c>
    </row>
    <row r="66" spans="1:7" ht="12.75">
      <c r="A66" s="166" t="s">
        <v>381</v>
      </c>
      <c r="B66" s="322"/>
      <c r="C66" s="451"/>
      <c r="D66" s="323"/>
      <c r="E66" s="99"/>
      <c r="F66" s="100">
        <f>+F52</f>
        <v>0</v>
      </c>
      <c r="G66" s="323"/>
    </row>
    <row r="67" spans="1:7" ht="12.75">
      <c r="A67" s="166" t="s">
        <v>205</v>
      </c>
      <c r="B67" s="322"/>
      <c r="C67" s="451"/>
      <c r="D67" s="323"/>
      <c r="E67" s="99"/>
      <c r="F67" s="100">
        <f>+F64+F65-F66</f>
        <v>517544000</v>
      </c>
      <c r="G67" s="329" t="s">
        <v>477</v>
      </c>
    </row>
    <row r="68" spans="1:7" ht="12.75">
      <c r="A68" s="166" t="s">
        <v>206</v>
      </c>
      <c r="B68" s="322"/>
      <c r="C68" s="451"/>
      <c r="D68" s="323"/>
      <c r="E68" s="100">
        <v>31859</v>
      </c>
      <c r="F68" s="169">
        <f>+F67/E68</f>
        <v>16244.828776797765</v>
      </c>
      <c r="G68" s="323"/>
    </row>
    <row r="69" spans="1:7" ht="12.75">
      <c r="A69" s="892"/>
      <c r="B69" s="806"/>
      <c r="C69" s="806"/>
      <c r="D69" s="806"/>
      <c r="E69" s="806"/>
      <c r="F69" s="806"/>
      <c r="G69" s="893"/>
    </row>
    <row r="70" spans="1:7" ht="12.75">
      <c r="A70" s="166" t="s">
        <v>570</v>
      </c>
      <c r="B70" s="320"/>
      <c r="C70" s="450"/>
      <c r="D70" s="321"/>
      <c r="E70" s="100"/>
      <c r="F70" s="100">
        <f>+'ANEXO 8'!F49+'ANEXO 9'!F67</f>
        <v>539269725</v>
      </c>
      <c r="G70" s="459"/>
    </row>
    <row r="71" spans="1:7" ht="12.75">
      <c r="A71" s="166" t="s">
        <v>206</v>
      </c>
      <c r="B71" s="322"/>
      <c r="C71" s="451"/>
      <c r="D71" s="323"/>
      <c r="E71" s="100">
        <f>+E68</f>
        <v>31859</v>
      </c>
      <c r="F71" s="169">
        <f>+F70/E71</f>
        <v>16926.762453309897</v>
      </c>
      <c r="G71" s="323"/>
    </row>
    <row r="72" spans="1:7" ht="12.75">
      <c r="A72" s="166" t="s">
        <v>266</v>
      </c>
      <c r="B72" s="452"/>
      <c r="C72" s="453"/>
      <c r="D72" s="324"/>
      <c r="E72" s="99"/>
      <c r="F72" s="1041">
        <f>ROUND(((IF(F71&gt;4000,(F71-4000)*35%+870,IF(AND(F71&lt;=4000,F71&gt;3000),(F71-3000)*33%+540,IF(AND(F71&lt;=3000,F71&gt;2000),(F71-2000)*30%+240,IF(AND(F71&lt;=2000,F71&gt;1000),(F71-1000)*20%+40,IF(AND(F71&lt;=1000,F71&gt;600),(F71-600)*10%,0)))))))*E71,-3)</f>
        <v>171859000</v>
      </c>
      <c r="G72" s="331" t="s">
        <v>478</v>
      </c>
    </row>
    <row r="74" ht="12.75">
      <c r="G74" s="30"/>
    </row>
    <row r="75" ht="12.75">
      <c r="F75" s="1034">
        <f>+(F71-4100)*33%+788</f>
        <v>5020.831609592266</v>
      </c>
    </row>
    <row r="76" ht="12.75">
      <c r="F76" s="1042">
        <f>+F75*E71</f>
        <v>159958674.25000003</v>
      </c>
    </row>
    <row r="77" ht="12.75">
      <c r="F77" s="30"/>
    </row>
    <row r="78" ht="12.75">
      <c r="F78" s="194">
        <f>+F72-F76</f>
        <v>11900325.74999997</v>
      </c>
    </row>
    <row r="79" ht="12.75">
      <c r="F79" s="1035">
        <f>+F78/F76</f>
        <v>0.07439625144305026</v>
      </c>
    </row>
  </sheetData>
  <sheetProtection/>
  <mergeCells count="30">
    <mergeCell ref="A5:G5"/>
    <mergeCell ref="A1:G1"/>
    <mergeCell ref="A2:G2"/>
    <mergeCell ref="A3:G3"/>
    <mergeCell ref="A4:G4"/>
    <mergeCell ref="A7:A8"/>
    <mergeCell ref="B7:B8"/>
    <mergeCell ref="C7:C8"/>
    <mergeCell ref="D7:D8"/>
    <mergeCell ref="E7:E8"/>
    <mergeCell ref="F7:F8"/>
    <mergeCell ref="B52:E52"/>
    <mergeCell ref="B59:E59"/>
    <mergeCell ref="G7:G8"/>
    <mergeCell ref="A9:G9"/>
    <mergeCell ref="A20:G20"/>
    <mergeCell ref="A28:G28"/>
    <mergeCell ref="A36:G36"/>
    <mergeCell ref="B37:C37"/>
    <mergeCell ref="F37:G40"/>
    <mergeCell ref="A69:G69"/>
    <mergeCell ref="B38:C40"/>
    <mergeCell ref="A43:G43"/>
    <mergeCell ref="B44:E46"/>
    <mergeCell ref="G44:G46"/>
    <mergeCell ref="B47:E47"/>
    <mergeCell ref="A49:G49"/>
    <mergeCell ref="B50:E51"/>
    <mergeCell ref="A54:G54"/>
    <mergeCell ref="B55:E58"/>
  </mergeCells>
  <printOptions/>
  <pageMargins left="0.7" right="0.7" top="0.75"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dimension ref="A1:G57"/>
  <sheetViews>
    <sheetView showGridLines="0" zoomScale="150" zoomScaleNormal="150" zoomScalePageLayoutView="0" workbookViewId="0" topLeftCell="A31">
      <selection activeCell="C43" sqref="C43"/>
    </sheetView>
  </sheetViews>
  <sheetFormatPr defaultColWidth="11.421875" defaultRowHeight="12.75"/>
  <cols>
    <col min="1" max="1" width="48.421875" style="117" customWidth="1"/>
    <col min="2" max="2" width="13.7109375" style="117" customWidth="1"/>
    <col min="3" max="3" width="14.7109375" style="170" customWidth="1"/>
    <col min="4" max="4" width="14.7109375" style="117" customWidth="1"/>
    <col min="5" max="6" width="11.421875" style="117" customWidth="1"/>
    <col min="7" max="7" width="15.140625" style="117" customWidth="1"/>
    <col min="8" max="16384" width="11.421875" style="117" customWidth="1"/>
  </cols>
  <sheetData>
    <row r="1" spans="1:4" ht="12.75">
      <c r="A1" s="819" t="str">
        <f>+'ANEXO 1'!A1</f>
        <v>CARO PAZ SANTOS</v>
      </c>
      <c r="B1" s="800"/>
      <c r="C1" s="800"/>
      <c r="D1" s="801"/>
    </row>
    <row r="2" spans="1:4" ht="12.75">
      <c r="A2" s="813" t="s">
        <v>284</v>
      </c>
      <c r="B2" s="814"/>
      <c r="C2" s="814"/>
      <c r="D2" s="815"/>
    </row>
    <row r="3" spans="1:4" ht="12.75">
      <c r="A3" s="813" t="s">
        <v>267</v>
      </c>
      <c r="B3" s="814"/>
      <c r="C3" s="814"/>
      <c r="D3" s="815"/>
    </row>
    <row r="4" spans="1:4" ht="12.75">
      <c r="A4" s="813" t="str">
        <f>+'ANEXO 1'!A3</f>
        <v>Año Gravable 2017</v>
      </c>
      <c r="B4" s="814"/>
      <c r="C4" s="814"/>
      <c r="D4" s="815"/>
    </row>
    <row r="5" spans="1:4" ht="12.75">
      <c r="A5" s="813" t="s">
        <v>480</v>
      </c>
      <c r="B5" s="814"/>
      <c r="C5" s="814"/>
      <c r="D5" s="815"/>
    </row>
    <row r="6" spans="1:4" ht="13.5" thickBot="1">
      <c r="A6" s="119"/>
      <c r="B6" s="120"/>
      <c r="C6" s="121"/>
      <c r="D6" s="122"/>
    </row>
    <row r="7" spans="1:4" ht="12.75" customHeight="1">
      <c r="A7" s="811" t="s">
        <v>45</v>
      </c>
      <c r="B7" s="811" t="s">
        <v>40</v>
      </c>
      <c r="C7" s="810" t="s">
        <v>41</v>
      </c>
      <c r="D7" s="811" t="s">
        <v>42</v>
      </c>
    </row>
    <row r="8" spans="1:4" ht="31.5" customHeight="1" thickBot="1">
      <c r="A8" s="812"/>
      <c r="B8" s="812"/>
      <c r="C8" s="812"/>
      <c r="D8" s="812"/>
    </row>
    <row r="9" spans="1:4" ht="13.5" thickBot="1">
      <c r="A9" s="849" t="s">
        <v>268</v>
      </c>
      <c r="B9" s="850"/>
      <c r="C9" s="850"/>
      <c r="D9" s="850"/>
    </row>
    <row r="10" spans="1:4" ht="12.75">
      <c r="A10" s="123" t="s">
        <v>269</v>
      </c>
      <c r="B10" s="124">
        <v>42000000</v>
      </c>
      <c r="C10" s="138"/>
      <c r="D10" s="124">
        <f>SUM(B10:C10)</f>
        <v>42000000</v>
      </c>
    </row>
    <row r="11" spans="1:4" ht="12.75">
      <c r="A11" s="123" t="s">
        <v>270</v>
      </c>
      <c r="B11" s="137"/>
      <c r="C11" s="125">
        <v>10450000</v>
      </c>
      <c r="D11" s="124">
        <f>SUM(B11:C11)</f>
        <v>10450000</v>
      </c>
    </row>
    <row r="12" spans="1:4" ht="13.5" thickBot="1">
      <c r="A12" s="123"/>
      <c r="B12" s="124"/>
      <c r="C12" s="125"/>
      <c r="D12" s="124"/>
    </row>
    <row r="13" spans="1:4" ht="13.5" thickBot="1">
      <c r="A13" s="145" t="s">
        <v>271</v>
      </c>
      <c r="B13" s="146">
        <f>SUM(B10:B12)</f>
        <v>42000000</v>
      </c>
      <c r="C13" s="147">
        <f>SUM(C10:C12)</f>
        <v>10450000</v>
      </c>
      <c r="D13" s="148">
        <f>+B13+C13</f>
        <v>52450000</v>
      </c>
    </row>
    <row r="14" spans="1:7" ht="13.5" thickBot="1">
      <c r="A14" s="151"/>
      <c r="B14" s="333" t="s">
        <v>482</v>
      </c>
      <c r="C14" s="332" t="s">
        <v>481</v>
      </c>
      <c r="D14" s="152"/>
      <c r="G14" s="30"/>
    </row>
    <row r="15" spans="1:7" ht="13.5" thickBot="1">
      <c r="A15" s="849" t="s">
        <v>273</v>
      </c>
      <c r="B15" s="850"/>
      <c r="C15" s="850"/>
      <c r="D15" s="853"/>
      <c r="G15" s="30"/>
    </row>
    <row r="16" spans="1:7" ht="13.5" thickBot="1">
      <c r="A16" s="181" t="s">
        <v>246</v>
      </c>
      <c r="B16" s="188"/>
      <c r="C16" s="188"/>
      <c r="D16" s="154" t="s">
        <v>248</v>
      </c>
      <c r="G16" s="30"/>
    </row>
    <row r="17" spans="1:7" ht="12.75">
      <c r="A17" s="130" t="s">
        <v>272</v>
      </c>
      <c r="B17" s="185"/>
      <c r="C17" s="186"/>
      <c r="D17" s="187">
        <f>+C13</f>
        <v>10450000</v>
      </c>
      <c r="G17" s="30"/>
    </row>
    <row r="18" spans="1:7" ht="12.75">
      <c r="A18" s="130" t="s">
        <v>279</v>
      </c>
      <c r="B18" s="185"/>
      <c r="C18" s="186">
        <v>31859</v>
      </c>
      <c r="D18" s="195">
        <f>+D17/C18</f>
        <v>328.00778429957</v>
      </c>
      <c r="G18" s="30"/>
    </row>
    <row r="19" spans="1:7" ht="13.5" thickBot="1">
      <c r="A19" s="196" t="s">
        <v>274</v>
      </c>
      <c r="B19" s="185"/>
      <c r="C19" s="186"/>
      <c r="D19" s="197">
        <f>IF(D18&gt;1000,(D18-1000)*10%+20,IF(AND(D18&lt;=1000,D18&gt;600),(D18-600)*5%,0))</f>
        <v>0</v>
      </c>
      <c r="G19" s="30"/>
    </row>
    <row r="20" spans="1:7" ht="13.5" thickBot="1">
      <c r="A20" s="849" t="s">
        <v>278</v>
      </c>
      <c r="B20" s="850"/>
      <c r="C20" s="853"/>
      <c r="D20" s="200">
        <f>ROUND(+D19*C18,-3)</f>
        <v>0</v>
      </c>
      <c r="G20" s="30"/>
    </row>
    <row r="21" spans="1:7" ht="13.5" thickBot="1">
      <c r="A21" s="165"/>
      <c r="B21" s="206"/>
      <c r="C21" s="207"/>
      <c r="D21" s="334" t="s">
        <v>483</v>
      </c>
      <c r="G21" s="30"/>
    </row>
    <row r="22" spans="1:7" ht="13.5" thickBot="1">
      <c r="A22" s="849" t="s">
        <v>281</v>
      </c>
      <c r="B22" s="850"/>
      <c r="C22" s="850"/>
      <c r="D22" s="853"/>
      <c r="G22" s="30"/>
    </row>
    <row r="23" spans="1:7" ht="13.5" thickBot="1">
      <c r="A23" s="181" t="s">
        <v>246</v>
      </c>
      <c r="B23" s="188"/>
      <c r="C23" s="188"/>
      <c r="D23" s="154" t="s">
        <v>248</v>
      </c>
      <c r="G23" s="30"/>
    </row>
    <row r="24" spans="1:7" ht="13.5" thickBot="1">
      <c r="A24" s="130" t="s">
        <v>275</v>
      </c>
      <c r="B24" s="208"/>
      <c r="C24" s="186"/>
      <c r="D24" s="187">
        <f>+D10</f>
        <v>42000000</v>
      </c>
      <c r="G24" s="30"/>
    </row>
    <row r="25" spans="1:7" ht="13.5" thickBot="1">
      <c r="A25" s="849" t="s">
        <v>282</v>
      </c>
      <c r="B25" s="853"/>
      <c r="C25" s="460">
        <v>0.35</v>
      </c>
      <c r="D25" s="199">
        <f>+D24*C25</f>
        <v>14699999.999999998</v>
      </c>
      <c r="G25" s="30"/>
    </row>
    <row r="26" spans="1:7" ht="12.75">
      <c r="A26" s="130" t="s">
        <v>276</v>
      </c>
      <c r="B26" s="185"/>
      <c r="C26" s="202">
        <f>+D26/D24</f>
        <v>0.65</v>
      </c>
      <c r="D26" s="187">
        <f>+D24-D25</f>
        <v>27300000</v>
      </c>
      <c r="G26" s="30"/>
    </row>
    <row r="27" spans="1:7" ht="12.75">
      <c r="A27" s="130" t="s">
        <v>277</v>
      </c>
      <c r="B27" s="185"/>
      <c r="C27" s="186">
        <v>31859</v>
      </c>
      <c r="D27" s="195">
        <f>+D26/C27</f>
        <v>856.900718792178</v>
      </c>
      <c r="G27" s="30"/>
    </row>
    <row r="28" spans="1:7" ht="13.5" thickBot="1">
      <c r="A28" s="196" t="s">
        <v>283</v>
      </c>
      <c r="B28" s="203"/>
      <c r="C28" s="186"/>
      <c r="D28" s="197">
        <f>IF(D27&gt;1000,(D27-1000)*10%+20,IF(AND(D27&lt;=1000,D27&gt;600),(D27-600)*5%,0))</f>
        <v>12.845035939608904</v>
      </c>
      <c r="G28" s="30"/>
    </row>
    <row r="29" spans="1:7" ht="13.5" thickBot="1">
      <c r="A29" s="849" t="s">
        <v>280</v>
      </c>
      <c r="B29" s="850"/>
      <c r="C29" s="853"/>
      <c r="D29" s="200">
        <f>ROUND(+D28*C27,-3)</f>
        <v>409000</v>
      </c>
      <c r="G29" s="30"/>
    </row>
    <row r="30" spans="1:7" ht="13.5" thickBot="1">
      <c r="A30" s="849" t="s">
        <v>571</v>
      </c>
      <c r="B30" s="850"/>
      <c r="C30" s="850"/>
      <c r="D30" s="199">
        <f>+D25+D29</f>
        <v>15108999.999999998</v>
      </c>
      <c r="G30" s="30"/>
    </row>
    <row r="31" spans="1:7" ht="12.75">
      <c r="A31" s="151"/>
      <c r="B31" s="204"/>
      <c r="C31" s="205"/>
      <c r="D31" s="326" t="s">
        <v>484</v>
      </c>
      <c r="G31" s="30"/>
    </row>
    <row r="32" spans="1:4" ht="12.75">
      <c r="A32" s="900" t="s">
        <v>329</v>
      </c>
      <c r="B32" s="901"/>
      <c r="C32" s="902"/>
      <c r="D32" s="338">
        <v>8400000</v>
      </c>
    </row>
    <row r="33" ht="12.75">
      <c r="D33" s="336" t="s">
        <v>494</v>
      </c>
    </row>
    <row r="37" spans="1:4" ht="25.5">
      <c r="A37" s="1034" t="s">
        <v>639</v>
      </c>
      <c r="B37" s="1034"/>
      <c r="C37" s="1037" t="s">
        <v>640</v>
      </c>
      <c r="D37" s="1034"/>
    </row>
    <row r="38" spans="1:4" ht="38.25">
      <c r="A38" s="1034" t="s">
        <v>641</v>
      </c>
      <c r="B38" s="1034"/>
      <c r="C38" s="1037" t="s">
        <v>642</v>
      </c>
      <c r="D38" s="1034"/>
    </row>
    <row r="39" spans="1:4" ht="12.75">
      <c r="A39" s="1034" t="s">
        <v>643</v>
      </c>
      <c r="B39" s="1034"/>
      <c r="C39" s="1037">
        <v>300000000</v>
      </c>
      <c r="D39" s="1034"/>
    </row>
    <row r="40" spans="1:4" ht="12.75">
      <c r="A40" s="1034"/>
      <c r="B40" s="1034"/>
      <c r="C40" s="1037">
        <f>+C39/31859</f>
        <v>9416.49141529866</v>
      </c>
      <c r="D40" s="1034"/>
    </row>
    <row r="41" spans="1:4" ht="12.75">
      <c r="A41" s="1034"/>
      <c r="B41" s="1034"/>
      <c r="C41" s="1037">
        <f>+(C40-1000)*10%+20</f>
        <v>861.649141529866</v>
      </c>
      <c r="D41" s="1034" t="s">
        <v>624</v>
      </c>
    </row>
    <row r="42" spans="1:4" ht="12.75">
      <c r="A42" s="1034"/>
      <c r="B42" s="1034"/>
      <c r="C42" s="1037">
        <f>+C41*31859</f>
        <v>27451280</v>
      </c>
      <c r="D42" s="1034" t="s">
        <v>625</v>
      </c>
    </row>
    <row r="43" spans="1:4" ht="12.75">
      <c r="A43" s="1034"/>
      <c r="B43" s="1034"/>
      <c r="C43" s="1043">
        <f>+C42/C39</f>
        <v>0.09150426666666667</v>
      </c>
      <c r="D43" s="1034"/>
    </row>
    <row r="44" spans="1:4" ht="12.75">
      <c r="A44" s="1034"/>
      <c r="B44" s="1034"/>
      <c r="C44" s="1037"/>
      <c r="D44" s="1034"/>
    </row>
    <row r="45" spans="1:4" ht="12.75">
      <c r="A45" s="1034"/>
      <c r="B45" s="1034"/>
      <c r="C45" s="1037"/>
      <c r="D45" s="1034"/>
    </row>
    <row r="46" spans="1:4" ht="12.75">
      <c r="A46" s="1034"/>
      <c r="B46" s="1034"/>
      <c r="C46" s="1037"/>
      <c r="D46" s="1034"/>
    </row>
    <row r="47" spans="1:4" ht="12.75">
      <c r="A47" s="1034"/>
      <c r="B47" s="1034"/>
      <c r="C47" s="1037"/>
      <c r="D47" s="1034"/>
    </row>
    <row r="48" spans="1:4" ht="12.75">
      <c r="A48" s="1034"/>
      <c r="B48" s="1034"/>
      <c r="C48" s="1037"/>
      <c r="D48" s="1034"/>
    </row>
    <row r="49" spans="1:4" ht="12.75">
      <c r="A49" s="1034"/>
      <c r="B49" s="1034"/>
      <c r="C49" s="1037"/>
      <c r="D49" s="1034"/>
    </row>
    <row r="50" spans="1:4" ht="12.75">
      <c r="A50" s="1034"/>
      <c r="B50" s="1034"/>
      <c r="C50" s="1037"/>
      <c r="D50" s="1034"/>
    </row>
    <row r="51" spans="1:4" ht="12.75">
      <c r="A51" s="1034"/>
      <c r="B51" s="1034"/>
      <c r="C51" s="1037"/>
      <c r="D51" s="1034"/>
    </row>
    <row r="52" spans="1:4" ht="12.75">
      <c r="A52" s="1034"/>
      <c r="B52" s="1034"/>
      <c r="C52" s="1037"/>
      <c r="D52" s="1034"/>
    </row>
    <row r="53" spans="1:4" ht="12.75">
      <c r="A53" s="1034"/>
      <c r="B53" s="1034"/>
      <c r="C53" s="1037"/>
      <c r="D53" s="1034"/>
    </row>
    <row r="54" spans="1:4" ht="12.75">
      <c r="A54" s="1034"/>
      <c r="B54" s="1034"/>
      <c r="C54" s="1037"/>
      <c r="D54" s="1034"/>
    </row>
    <row r="55" spans="1:4" ht="12.75">
      <c r="A55" s="1034"/>
      <c r="B55" s="1034"/>
      <c r="C55" s="1037"/>
      <c r="D55" s="1034"/>
    </row>
    <row r="56" spans="1:4" ht="12.75">
      <c r="A56" s="1034"/>
      <c r="B56" s="1034"/>
      <c r="C56" s="1037"/>
      <c r="D56" s="1034"/>
    </row>
    <row r="57" spans="1:4" ht="12.75">
      <c r="A57" s="1034"/>
      <c r="B57" s="1034"/>
      <c r="C57" s="1037"/>
      <c r="D57" s="1034"/>
    </row>
  </sheetData>
  <sheetProtection/>
  <mergeCells count="17">
    <mergeCell ref="A5:D5"/>
    <mergeCell ref="A30:C30"/>
    <mergeCell ref="A32:C32"/>
    <mergeCell ref="A1:D1"/>
    <mergeCell ref="A2:D2"/>
    <mergeCell ref="A3:D3"/>
    <mergeCell ref="A4:D4"/>
    <mergeCell ref="A7:A8"/>
    <mergeCell ref="B7:B8"/>
    <mergeCell ref="C7:C8"/>
    <mergeCell ref="D7:D8"/>
    <mergeCell ref="A29:C29"/>
    <mergeCell ref="A20:C20"/>
    <mergeCell ref="A9:D9"/>
    <mergeCell ref="A15:D15"/>
    <mergeCell ref="A22:D22"/>
    <mergeCell ref="A25:B2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30"/>
  <sheetViews>
    <sheetView showGridLines="0" zoomScale="120" zoomScaleNormal="120" zoomScalePageLayoutView="0" workbookViewId="0" topLeftCell="B11">
      <selection activeCell="D30" sqref="D30"/>
    </sheetView>
  </sheetViews>
  <sheetFormatPr defaultColWidth="11.421875" defaultRowHeight="12.75"/>
  <cols>
    <col min="1" max="1" width="72.421875" style="117" customWidth="1"/>
    <col min="2" max="2" width="15.8515625" style="117" customWidth="1"/>
    <col min="3" max="3" width="11.421875" style="117" customWidth="1"/>
    <col min="4" max="4" width="15.140625" style="117" customWidth="1"/>
    <col min="5" max="16384" width="11.421875" style="117" customWidth="1"/>
  </cols>
  <sheetData>
    <row r="1" spans="1:4" ht="12.75">
      <c r="A1" s="903" t="str">
        <f>+'ANEXO 1'!A1</f>
        <v>CARO PAZ SANTOS</v>
      </c>
      <c r="B1" s="904"/>
      <c r="C1" s="904"/>
      <c r="D1" s="905"/>
    </row>
    <row r="2" spans="1:4" ht="12.75">
      <c r="A2" s="813" t="s">
        <v>48</v>
      </c>
      <c r="B2" s="814"/>
      <c r="C2" s="814"/>
      <c r="D2" s="815"/>
    </row>
    <row r="3" spans="1:4" ht="12.75">
      <c r="A3" s="813" t="str">
        <f>+'ANEXO 6'!A4</f>
        <v>Año Gravable 2017</v>
      </c>
      <c r="B3" s="814"/>
      <c r="C3" s="814"/>
      <c r="D3" s="815"/>
    </row>
    <row r="4" spans="1:4" ht="12.75">
      <c r="A4" s="813" t="s">
        <v>487</v>
      </c>
      <c r="B4" s="814"/>
      <c r="C4" s="814"/>
      <c r="D4" s="815"/>
    </row>
    <row r="5" spans="1:4" ht="13.5" thickBot="1">
      <c r="A5" s="119"/>
      <c r="B5" s="120"/>
      <c r="C5" s="120"/>
      <c r="D5" s="122"/>
    </row>
    <row r="6" spans="1:4" ht="12.75">
      <c r="A6" s="810" t="s">
        <v>49</v>
      </c>
      <c r="B6" s="810" t="s">
        <v>290</v>
      </c>
      <c r="C6" s="906" t="s">
        <v>50</v>
      </c>
      <c r="D6" s="810" t="s">
        <v>51</v>
      </c>
    </row>
    <row r="7" spans="1:4" ht="13.5" thickBot="1">
      <c r="A7" s="812"/>
      <c r="B7" s="812"/>
      <c r="C7" s="907"/>
      <c r="D7" s="812"/>
    </row>
    <row r="8" spans="1:4" ht="12.75">
      <c r="A8" s="483"/>
      <c r="B8" s="484"/>
      <c r="C8" s="484"/>
      <c r="D8" s="217"/>
    </row>
    <row r="9" spans="1:4" ht="12.75">
      <c r="A9" s="130" t="s">
        <v>291</v>
      </c>
      <c r="B9" s="152">
        <f>+INFORMACION!C89*2</f>
        <v>3250000000</v>
      </c>
      <c r="C9" s="165"/>
      <c r="D9" s="220"/>
    </row>
    <row r="10" spans="1:4" ht="12.75">
      <c r="A10" s="130" t="s">
        <v>292</v>
      </c>
      <c r="B10" s="152">
        <f>+INFORMACION!C91*2</f>
        <v>2201680000</v>
      </c>
      <c r="C10" s="165"/>
      <c r="D10" s="220"/>
    </row>
    <row r="11" spans="1:4" ht="13.5" thickBot="1">
      <c r="A11" s="119" t="s">
        <v>644</v>
      </c>
      <c r="B11" s="120"/>
      <c r="C11" s="485">
        <f>+B10/B9</f>
        <v>0.67744</v>
      </c>
      <c r="D11" s="122"/>
    </row>
    <row r="12" spans="1:4" ht="12.75">
      <c r="A12" s="483"/>
      <c r="B12" s="484"/>
      <c r="C12" s="484"/>
      <c r="D12" s="217"/>
    </row>
    <row r="13" spans="1:4" ht="12.75">
      <c r="A13" s="196" t="s">
        <v>293</v>
      </c>
      <c r="B13" s="165"/>
      <c r="C13" s="165"/>
      <c r="D13" s="221">
        <f>+B10</f>
        <v>2201680000</v>
      </c>
    </row>
    <row r="14" spans="1:4" ht="12.75">
      <c r="A14" s="130" t="s">
        <v>52</v>
      </c>
      <c r="B14" s="165"/>
      <c r="C14" s="165"/>
      <c r="D14" s="221"/>
    </row>
    <row r="15" spans="1:4" ht="12.75">
      <c r="A15" s="130" t="s">
        <v>53</v>
      </c>
      <c r="B15" s="152">
        <f>+INFORMACION!C18</f>
        <v>28000000</v>
      </c>
      <c r="C15" s="165"/>
      <c r="D15" s="221">
        <f>-B15*C11</f>
        <v>-18968320</v>
      </c>
    </row>
    <row r="16" spans="1:4" ht="12.75">
      <c r="A16" s="130" t="s">
        <v>54</v>
      </c>
      <c r="B16" s="152">
        <v>0</v>
      </c>
      <c r="C16" s="165"/>
      <c r="D16" s="221">
        <f>-B16*C12</f>
        <v>0</v>
      </c>
    </row>
    <row r="17" spans="1:4" ht="12.75">
      <c r="A17" s="130" t="s">
        <v>80</v>
      </c>
      <c r="B17" s="152">
        <f>250000000*0</f>
        <v>0</v>
      </c>
      <c r="C17" s="165"/>
      <c r="D17" s="221">
        <f>-B17</f>
        <v>0</v>
      </c>
    </row>
    <row r="18" spans="1:4" ht="12.75">
      <c r="A18" s="130" t="s">
        <v>567</v>
      </c>
      <c r="B18" s="206">
        <v>254872000</v>
      </c>
      <c r="C18" s="165"/>
      <c r="D18" s="221">
        <f>-B18</f>
        <v>-254872000</v>
      </c>
    </row>
    <row r="19" spans="1:4" ht="12.75">
      <c r="A19" s="130" t="s">
        <v>55</v>
      </c>
      <c r="B19" s="152">
        <v>0</v>
      </c>
      <c r="C19" s="165"/>
      <c r="D19" s="221">
        <f>-B19*C11</f>
        <v>0</v>
      </c>
    </row>
    <row r="20" spans="1:4" ht="12.75">
      <c r="A20" s="196" t="s">
        <v>56</v>
      </c>
      <c r="B20" s="165"/>
      <c r="C20" s="165"/>
      <c r="D20" s="486">
        <f>SUM(D15:D19)</f>
        <v>-273840320</v>
      </c>
    </row>
    <row r="21" spans="1:4" ht="12.75">
      <c r="A21" s="196" t="s">
        <v>57</v>
      </c>
      <c r="B21" s="165"/>
      <c r="C21" s="165"/>
      <c r="D21" s="486">
        <f>+D13+D20</f>
        <v>1927839680</v>
      </c>
    </row>
    <row r="22" spans="1:4" ht="13.5" thickBot="1">
      <c r="A22" s="130" t="s">
        <v>58</v>
      </c>
      <c r="B22" s="165"/>
      <c r="C22" s="487">
        <v>0.035</v>
      </c>
      <c r="D22" s="221"/>
    </row>
    <row r="23" spans="1:4" ht="13.5" thickBot="1">
      <c r="A23" s="488" t="s">
        <v>59</v>
      </c>
      <c r="B23" s="120"/>
      <c r="C23" s="120"/>
      <c r="D23" s="201">
        <f>+D21*C22</f>
        <v>67474388.80000001</v>
      </c>
    </row>
    <row r="24" ht="12.75">
      <c r="D24" s="478" t="s">
        <v>491</v>
      </c>
    </row>
    <row r="25" spans="1:4" ht="12.75">
      <c r="A25" s="1044" t="s">
        <v>645</v>
      </c>
      <c r="D25" s="1034">
        <f>20000000*0</f>
        <v>0</v>
      </c>
    </row>
    <row r="26" ht="12.75">
      <c r="D26" s="1045">
        <f>+D23+D25</f>
        <v>67474388.80000001</v>
      </c>
    </row>
    <row r="28" ht="12.75">
      <c r="D28" s="1034">
        <f>+D26/31859</f>
        <v>2117.906676292414</v>
      </c>
    </row>
    <row r="29" spans="4:5" ht="12.75">
      <c r="D29" s="1046">
        <f>+(D28-2000)*30%+240</f>
        <v>275.3720028877242</v>
      </c>
      <c r="E29" s="117" t="s">
        <v>624</v>
      </c>
    </row>
    <row r="30" spans="4:5" ht="12.75">
      <c r="D30" s="1034">
        <f>+D29*31859</f>
        <v>8773076.640000004</v>
      </c>
      <c r="E30" s="117" t="s">
        <v>625</v>
      </c>
    </row>
  </sheetData>
  <sheetProtection/>
  <mergeCells count="8">
    <mergeCell ref="A1:D1"/>
    <mergeCell ref="A6:A7"/>
    <mergeCell ref="B6:B7"/>
    <mergeCell ref="C6:C7"/>
    <mergeCell ref="D6:D7"/>
    <mergeCell ref="A2:D2"/>
    <mergeCell ref="A3:D3"/>
    <mergeCell ref="A4:D4"/>
  </mergeCells>
  <printOptions/>
  <pageMargins left="0.75" right="0.75" top="1" bottom="1" header="0" footer="0"/>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F12"/>
  <sheetViews>
    <sheetView showGridLines="0" zoomScalePageLayoutView="0" workbookViewId="0" topLeftCell="A1">
      <selection activeCell="C19" sqref="C19"/>
    </sheetView>
  </sheetViews>
  <sheetFormatPr defaultColWidth="11.421875" defaultRowHeight="12.75"/>
  <cols>
    <col min="1" max="1" width="45.7109375" style="0" customWidth="1"/>
    <col min="2" max="2" width="12.7109375" style="0" customWidth="1"/>
    <col min="3" max="3" width="16.00390625" style="0" customWidth="1"/>
    <col min="4" max="4" width="13.7109375" style="0" customWidth="1"/>
    <col min="5" max="5" width="14.8515625" style="0" customWidth="1"/>
    <col min="6" max="6" width="12.8515625" style="0" customWidth="1"/>
  </cols>
  <sheetData>
    <row r="1" spans="1:5" ht="12.75">
      <c r="A1" s="908" t="str">
        <f>+'ANEXO 1'!A1</f>
        <v>CARO PAZ SANTOS</v>
      </c>
      <c r="B1" s="909"/>
      <c r="C1" s="909"/>
      <c r="D1" s="909"/>
      <c r="E1" s="910"/>
    </row>
    <row r="2" spans="1:5" ht="12.75">
      <c r="A2" s="911" t="s">
        <v>81</v>
      </c>
      <c r="B2" s="912"/>
      <c r="C2" s="912"/>
      <c r="D2" s="912"/>
      <c r="E2" s="913"/>
    </row>
    <row r="3" spans="1:5" ht="12.75">
      <c r="A3" s="911" t="str">
        <f>+'ANEXO 6'!A4</f>
        <v>Año Gravable 2017</v>
      </c>
      <c r="B3" s="912"/>
      <c r="C3" s="912"/>
      <c r="D3" s="912"/>
      <c r="E3" s="913"/>
    </row>
    <row r="4" spans="1:5" ht="12.75">
      <c r="A4" s="813" t="s">
        <v>492</v>
      </c>
      <c r="B4" s="918"/>
      <c r="C4" s="918"/>
      <c r="D4" s="918"/>
      <c r="E4" s="919"/>
    </row>
    <row r="5" spans="1:5" ht="13.5" thickBot="1">
      <c r="A5" s="26"/>
      <c r="B5" s="7"/>
      <c r="C5" s="7"/>
      <c r="D5" s="7"/>
      <c r="E5" s="27"/>
    </row>
    <row r="6" spans="1:6" ht="17.25" customHeight="1" thickBot="1">
      <c r="A6" s="914" t="s">
        <v>45</v>
      </c>
      <c r="B6" s="916" t="s">
        <v>82</v>
      </c>
      <c r="C6" s="917"/>
      <c r="D6" s="916" t="s">
        <v>84</v>
      </c>
      <c r="E6" s="917"/>
      <c r="F6" s="28"/>
    </row>
    <row r="7" spans="1:6" ht="13.5" thickBot="1">
      <c r="A7" s="915"/>
      <c r="B7" s="209" t="s">
        <v>83</v>
      </c>
      <c r="C7" s="209" t="s">
        <v>51</v>
      </c>
      <c r="D7" s="209" t="s">
        <v>83</v>
      </c>
      <c r="E7" s="209" t="s">
        <v>51</v>
      </c>
      <c r="F7" s="28"/>
    </row>
    <row r="8" spans="1:6" ht="12.75">
      <c r="A8" s="11" t="s">
        <v>382</v>
      </c>
      <c r="B8" s="11"/>
      <c r="C8" s="11"/>
      <c r="D8" s="11">
        <v>2016</v>
      </c>
      <c r="E8" s="25">
        <f>+'ANEXO 5'!F14</f>
        <v>0</v>
      </c>
      <c r="F8" s="7"/>
    </row>
    <row r="9" spans="1:6" ht="12.75">
      <c r="A9" s="12"/>
      <c r="B9" s="13"/>
      <c r="C9" s="13"/>
      <c r="D9" s="13"/>
      <c r="E9" s="13"/>
      <c r="F9" s="7"/>
    </row>
    <row r="10" spans="1:6" ht="13.5" thickBot="1">
      <c r="A10" s="13"/>
      <c r="B10" s="13"/>
      <c r="C10" s="13"/>
      <c r="D10" s="13"/>
      <c r="E10" s="13"/>
      <c r="F10" s="7"/>
    </row>
    <row r="11" spans="1:6" ht="13.5" thickBot="1">
      <c r="A11" s="15" t="s">
        <v>47</v>
      </c>
      <c r="B11" s="14"/>
      <c r="C11" s="14"/>
      <c r="D11" s="14"/>
      <c r="E11" s="21">
        <f>SUM(E8:E10)</f>
        <v>0</v>
      </c>
      <c r="F11" s="7"/>
    </row>
    <row r="12" ht="12.75">
      <c r="E12" s="336" t="s">
        <v>476</v>
      </c>
    </row>
  </sheetData>
  <sheetProtection/>
  <mergeCells count="7">
    <mergeCell ref="A1:E1"/>
    <mergeCell ref="A2:E2"/>
    <mergeCell ref="A3:E3"/>
    <mergeCell ref="A6:A7"/>
    <mergeCell ref="B6:C6"/>
    <mergeCell ref="D6:E6"/>
    <mergeCell ref="A4:E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12"/>
  <sheetViews>
    <sheetView showGridLines="0" zoomScalePageLayoutView="0" workbookViewId="0" topLeftCell="A1">
      <selection activeCell="D8" sqref="D8"/>
    </sheetView>
  </sheetViews>
  <sheetFormatPr defaultColWidth="11.421875" defaultRowHeight="12.75"/>
  <cols>
    <col min="1" max="1" width="50.28125" style="0" customWidth="1"/>
    <col min="2" max="2" width="16.00390625" style="10" customWidth="1"/>
    <col min="3" max="3" width="13.7109375" style="0" customWidth="1"/>
    <col min="4" max="4" width="14.8515625" style="0" customWidth="1"/>
    <col min="5" max="5" width="12.8515625" style="0" customWidth="1"/>
  </cols>
  <sheetData>
    <row r="1" spans="1:4" ht="12.75">
      <c r="A1" s="908" t="str">
        <f>+'ANEXO 1'!A1</f>
        <v>CARO PAZ SANTOS</v>
      </c>
      <c r="B1" s="909"/>
      <c r="C1" s="909"/>
      <c r="D1" s="910"/>
    </row>
    <row r="2" spans="1:4" ht="12.75">
      <c r="A2" s="911" t="s">
        <v>388</v>
      </c>
      <c r="B2" s="912"/>
      <c r="C2" s="912"/>
      <c r="D2" s="913"/>
    </row>
    <row r="3" spans="1:4" ht="12.75">
      <c r="A3" s="911" t="str">
        <f>+'ANEXO 6'!A4</f>
        <v>Año Gravable 2017</v>
      </c>
      <c r="B3" s="912"/>
      <c r="C3" s="912"/>
      <c r="D3" s="913"/>
    </row>
    <row r="4" spans="1:4" ht="12.75">
      <c r="A4" s="813" t="s">
        <v>506</v>
      </c>
      <c r="B4" s="814"/>
      <c r="C4" s="814"/>
      <c r="D4" s="815"/>
    </row>
    <row r="5" spans="1:4" ht="13.5" thickBot="1">
      <c r="A5" s="26"/>
      <c r="B5" s="9"/>
      <c r="C5" s="7"/>
      <c r="D5" s="27"/>
    </row>
    <row r="6" spans="1:5" ht="17.25" customHeight="1">
      <c r="A6" s="914" t="s">
        <v>45</v>
      </c>
      <c r="B6" s="920" t="s">
        <v>51</v>
      </c>
      <c r="C6" s="922" t="s">
        <v>58</v>
      </c>
      <c r="D6" s="914" t="s">
        <v>51</v>
      </c>
      <c r="E6" s="28"/>
    </row>
    <row r="7" spans="1:5" ht="13.5" thickBot="1">
      <c r="A7" s="915"/>
      <c r="B7" s="921"/>
      <c r="C7" s="923"/>
      <c r="D7" s="915"/>
      <c r="E7" s="28"/>
    </row>
    <row r="8" spans="1:5" ht="12.75">
      <c r="A8" s="11" t="s">
        <v>389</v>
      </c>
      <c r="B8" s="16">
        <f>+INFORMACION!C79</f>
        <v>1200000</v>
      </c>
      <c r="C8" s="292">
        <v>0.25</v>
      </c>
      <c r="D8" s="25">
        <f>+B8*C8</f>
        <v>300000</v>
      </c>
      <c r="E8" s="7"/>
    </row>
    <row r="9" spans="1:5" ht="12.75">
      <c r="A9" s="12"/>
      <c r="B9" s="17"/>
      <c r="C9" s="13"/>
      <c r="D9" s="13"/>
      <c r="E9" s="7"/>
    </row>
    <row r="10" spans="1:5" ht="13.5" thickBot="1">
      <c r="A10" s="13"/>
      <c r="B10" s="17"/>
      <c r="C10" s="13"/>
      <c r="D10" s="13"/>
      <c r="E10" s="7"/>
    </row>
    <row r="11" spans="1:5" ht="13.5" thickBot="1">
      <c r="A11" s="15" t="s">
        <v>47</v>
      </c>
      <c r="B11" s="21"/>
      <c r="C11" s="14"/>
      <c r="D11" s="21">
        <f>SUM(D8:D10)</f>
        <v>300000</v>
      </c>
      <c r="E11" s="7"/>
    </row>
    <row r="12" ht="12.75">
      <c r="D12" s="336" t="s">
        <v>493</v>
      </c>
    </row>
  </sheetData>
  <sheetProtection/>
  <mergeCells count="8">
    <mergeCell ref="A1:D1"/>
    <mergeCell ref="A2:D2"/>
    <mergeCell ref="A3:D3"/>
    <mergeCell ref="A6:A7"/>
    <mergeCell ref="A4:D4"/>
    <mergeCell ref="B6:B7"/>
    <mergeCell ref="C6:C7"/>
    <mergeCell ref="D6:D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F24"/>
  <sheetViews>
    <sheetView showGridLines="0" zoomScalePageLayoutView="0" workbookViewId="0" topLeftCell="A1">
      <selection activeCell="B20" sqref="B20"/>
    </sheetView>
  </sheetViews>
  <sheetFormatPr defaultColWidth="11.421875" defaultRowHeight="12.75"/>
  <cols>
    <col min="1" max="1" width="65.28125" style="0" customWidth="1"/>
    <col min="2" max="2" width="14.7109375" style="0" customWidth="1"/>
    <col min="3" max="3" width="16.00390625" style="0" customWidth="1"/>
    <col min="4" max="4" width="16.140625" style="0" customWidth="1"/>
    <col min="5" max="5" width="14.8515625" style="0" customWidth="1"/>
    <col min="6" max="6" width="12.8515625" style="0" customWidth="1"/>
  </cols>
  <sheetData>
    <row r="1" spans="1:6" ht="12.75">
      <c r="A1" s="908" t="str">
        <f>+'ANEXO 1'!A1</f>
        <v>CARO PAZ SANTOS</v>
      </c>
      <c r="B1" s="909"/>
      <c r="C1" s="909"/>
      <c r="D1" s="909"/>
      <c r="E1" s="909"/>
      <c r="F1" s="910"/>
    </row>
    <row r="2" spans="1:6" ht="12.75">
      <c r="A2" s="911" t="s">
        <v>46</v>
      </c>
      <c r="B2" s="912"/>
      <c r="C2" s="912"/>
      <c r="D2" s="912"/>
      <c r="E2" s="912"/>
      <c r="F2" s="913"/>
    </row>
    <row r="3" spans="1:6" ht="12.75">
      <c r="A3" s="911" t="str">
        <f>+'ANEXO 6'!A4</f>
        <v>Año Gravable 2017</v>
      </c>
      <c r="B3" s="912"/>
      <c r="C3" s="912"/>
      <c r="D3" s="912"/>
      <c r="E3" s="912"/>
      <c r="F3" s="913"/>
    </row>
    <row r="4" spans="1:6" ht="12.75">
      <c r="A4" s="813" t="s">
        <v>495</v>
      </c>
      <c r="B4" s="918"/>
      <c r="C4" s="918"/>
      <c r="D4" s="918"/>
      <c r="E4" s="918"/>
      <c r="F4" s="919"/>
    </row>
    <row r="5" spans="1:6" ht="13.5" thickBot="1">
      <c r="A5" s="285"/>
      <c r="B5" s="286"/>
      <c r="C5" s="286"/>
      <c r="D5" s="286"/>
      <c r="E5" s="286"/>
      <c r="F5" s="287"/>
    </row>
    <row r="6" spans="1:6" ht="12.75">
      <c r="A6" s="914" t="s">
        <v>45</v>
      </c>
      <c r="B6" s="914" t="s">
        <v>295</v>
      </c>
      <c r="C6" s="914" t="s">
        <v>296</v>
      </c>
      <c r="D6" s="914" t="s">
        <v>297</v>
      </c>
      <c r="E6" s="914" t="s">
        <v>298</v>
      </c>
      <c r="F6" s="914" t="s">
        <v>323</v>
      </c>
    </row>
    <row r="7" spans="1:6" ht="25.5" customHeight="1" thickBot="1">
      <c r="A7" s="915"/>
      <c r="B7" s="915"/>
      <c r="C7" s="915"/>
      <c r="D7" s="915"/>
      <c r="E7" s="915"/>
      <c r="F7" s="915"/>
    </row>
    <row r="8" spans="1:6" ht="12.75">
      <c r="A8" s="11" t="s">
        <v>294</v>
      </c>
      <c r="B8" s="16">
        <v>300000000</v>
      </c>
      <c r="C8" s="16">
        <v>280000000</v>
      </c>
      <c r="D8" s="16">
        <v>20000000</v>
      </c>
      <c r="E8" s="25">
        <f>+B8-C8-D8</f>
        <v>0</v>
      </c>
      <c r="F8" s="29">
        <f>+B8*1%</f>
        <v>3000000</v>
      </c>
    </row>
    <row r="9" spans="1:6" ht="12.75">
      <c r="A9" s="13" t="s">
        <v>383</v>
      </c>
      <c r="B9" s="17">
        <v>100000000</v>
      </c>
      <c r="C9" s="17">
        <v>0</v>
      </c>
      <c r="D9" s="17">
        <v>0</v>
      </c>
      <c r="E9" s="17">
        <f>+B9-C9-D9</f>
        <v>100000000</v>
      </c>
      <c r="F9" s="284">
        <v>0</v>
      </c>
    </row>
    <row r="10" spans="1:6" ht="12.75">
      <c r="A10" s="13" t="s">
        <v>384</v>
      </c>
      <c r="B10" s="17">
        <v>50000000</v>
      </c>
      <c r="C10" s="17">
        <v>0</v>
      </c>
      <c r="D10" s="17">
        <v>0</v>
      </c>
      <c r="E10" s="17">
        <f>+B10-C10-D10</f>
        <v>50000000</v>
      </c>
      <c r="F10" s="284">
        <v>0</v>
      </c>
    </row>
    <row r="11" spans="1:6" ht="12.75">
      <c r="A11" s="13" t="s">
        <v>385</v>
      </c>
      <c r="B11" s="17">
        <f>+INFORMACION!C77</f>
        <v>48000000</v>
      </c>
      <c r="C11" s="17">
        <v>0</v>
      </c>
      <c r="D11" s="17">
        <v>0</v>
      </c>
      <c r="E11" s="17">
        <f>+B11-C11-D11</f>
        <v>48000000</v>
      </c>
      <c r="F11" s="288">
        <v>0</v>
      </c>
    </row>
    <row r="12" spans="1:6" ht="13.5" thickBot="1">
      <c r="A12" s="13"/>
      <c r="B12" s="17"/>
      <c r="C12" s="17"/>
      <c r="D12" s="17"/>
      <c r="E12" s="17"/>
      <c r="F12" s="27">
        <v>0</v>
      </c>
    </row>
    <row r="13" spans="1:6" ht="13.5" thickBot="1">
      <c r="A13" s="15" t="s">
        <v>299</v>
      </c>
      <c r="B13" s="21">
        <f>SUM(B8:B12)</f>
        <v>498000000</v>
      </c>
      <c r="C13" s="21">
        <f>SUM(C8:C12)</f>
        <v>280000000</v>
      </c>
      <c r="D13" s="21">
        <f>SUM(D8:D12)</f>
        <v>20000000</v>
      </c>
      <c r="E13" s="21">
        <f>SUM(E8:E12)</f>
        <v>198000000</v>
      </c>
      <c r="F13" s="98">
        <f>SUM(F8:F12)</f>
        <v>3000000</v>
      </c>
    </row>
    <row r="14" spans="2:6" ht="13.5" thickBot="1">
      <c r="B14" s="340" t="s">
        <v>502</v>
      </c>
      <c r="C14" s="340" t="s">
        <v>503</v>
      </c>
      <c r="D14" s="340" t="s">
        <v>504</v>
      </c>
      <c r="E14" s="340" t="s">
        <v>505</v>
      </c>
      <c r="F14" s="341" t="s">
        <v>464</v>
      </c>
    </row>
    <row r="15" spans="2:6" ht="13.5" thickBot="1">
      <c r="B15" s="336"/>
      <c r="C15" s="336"/>
      <c r="D15" s="336"/>
      <c r="E15" s="336"/>
      <c r="F15" s="336"/>
    </row>
    <row r="16" spans="1:5" ht="13.5" thickBot="1">
      <c r="A16" s="198" t="s">
        <v>300</v>
      </c>
      <c r="B16" s="210"/>
      <c r="C16" s="210"/>
      <c r="D16" s="211"/>
      <c r="E16" s="98">
        <v>0</v>
      </c>
    </row>
    <row r="17" spans="1:5" ht="13.5" thickBot="1">
      <c r="A17" s="198" t="s">
        <v>497</v>
      </c>
      <c r="B17" s="210"/>
      <c r="C17" s="210"/>
      <c r="D17" s="211"/>
      <c r="E17" s="98">
        <f>+E9+E10</f>
        <v>150000000</v>
      </c>
    </row>
    <row r="18" spans="1:5" ht="13.5" thickBot="1">
      <c r="A18" s="924" t="s">
        <v>498</v>
      </c>
      <c r="B18" s="925"/>
      <c r="C18" s="925"/>
      <c r="D18" s="926"/>
      <c r="E18" s="98">
        <f>+E11</f>
        <v>48000000</v>
      </c>
    </row>
    <row r="19" spans="1:5" ht="13.5" thickBot="1">
      <c r="A19" s="213" t="s">
        <v>301</v>
      </c>
      <c r="B19" s="210"/>
      <c r="C19" s="210"/>
      <c r="D19" s="212"/>
      <c r="E19" s="201">
        <f>+E17*10%</f>
        <v>15000000</v>
      </c>
    </row>
    <row r="20" spans="1:5" ht="13.5" thickBot="1">
      <c r="A20" s="213" t="s">
        <v>499</v>
      </c>
      <c r="B20" s="210"/>
      <c r="C20" s="210"/>
      <c r="D20" s="210"/>
      <c r="E20" s="201">
        <f>+E18*20%</f>
        <v>9600000</v>
      </c>
    </row>
    <row r="21" spans="1:5" ht="13.5" thickBot="1">
      <c r="A21" s="145" t="s">
        <v>500</v>
      </c>
      <c r="B21" s="210"/>
      <c r="C21" s="210"/>
      <c r="D21" s="210"/>
      <c r="E21" s="201">
        <f>SUM(E19:E20)</f>
        <v>24600000</v>
      </c>
    </row>
    <row r="22" ht="12.75">
      <c r="E22" s="339" t="s">
        <v>501</v>
      </c>
    </row>
    <row r="23" ht="12.75">
      <c r="E23" s="10"/>
    </row>
    <row r="24" ht="12.75">
      <c r="E24" s="10"/>
    </row>
  </sheetData>
  <sheetProtection/>
  <mergeCells count="11">
    <mergeCell ref="A18:D18"/>
    <mergeCell ref="F6:F7"/>
    <mergeCell ref="A1:F1"/>
    <mergeCell ref="A2:F2"/>
    <mergeCell ref="A3:F3"/>
    <mergeCell ref="E6:E7"/>
    <mergeCell ref="A6:A7"/>
    <mergeCell ref="B6:B7"/>
    <mergeCell ref="C6:C7"/>
    <mergeCell ref="D6:D7"/>
    <mergeCell ref="A4:F4"/>
  </mergeCells>
  <printOptions/>
  <pageMargins left="0.75" right="0.75" top="1" bottom="1"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20"/>
  <sheetViews>
    <sheetView showGridLines="0" zoomScalePageLayoutView="0" workbookViewId="0" topLeftCell="A1">
      <selection activeCell="G14" sqref="G14"/>
    </sheetView>
  </sheetViews>
  <sheetFormatPr defaultColWidth="11.421875" defaultRowHeight="12.75"/>
  <cols>
    <col min="1" max="1" width="47.140625" style="0" customWidth="1"/>
    <col min="2" max="2" width="17.140625" style="0" customWidth="1"/>
    <col min="3" max="3" width="13.8515625" style="0" bestFit="1" customWidth="1"/>
    <col min="4" max="4" width="13.7109375" style="0" customWidth="1"/>
  </cols>
  <sheetData>
    <row r="1" spans="1:5" ht="12.75">
      <c r="A1" s="903" t="str">
        <f>+'ANEXO 1'!A1</f>
        <v>CARO PAZ SANTOS</v>
      </c>
      <c r="B1" s="904"/>
      <c r="C1" s="904"/>
      <c r="D1" s="904"/>
      <c r="E1" s="905"/>
    </row>
    <row r="2" spans="1:5" ht="12.75">
      <c r="A2" s="813" t="s">
        <v>60</v>
      </c>
      <c r="B2" s="814"/>
      <c r="C2" s="814"/>
      <c r="D2" s="814"/>
      <c r="E2" s="815"/>
    </row>
    <row r="3" spans="1:5" ht="12.75">
      <c r="A3" s="813" t="str">
        <f>+'ANEXO 11'!A3:D3</f>
        <v>Año Gravable 2017</v>
      </c>
      <c r="B3" s="814"/>
      <c r="C3" s="814"/>
      <c r="D3" s="814"/>
      <c r="E3" s="815"/>
    </row>
    <row r="4" spans="1:5" ht="12.75">
      <c r="A4" s="813" t="s">
        <v>507</v>
      </c>
      <c r="B4" s="814"/>
      <c r="C4" s="814"/>
      <c r="D4" s="814"/>
      <c r="E4" s="815"/>
    </row>
    <row r="5" spans="1:5" ht="13.5" thickBot="1">
      <c r="A5" s="8"/>
      <c r="B5" s="344"/>
      <c r="C5" s="344"/>
      <c r="D5" s="344"/>
      <c r="E5" s="6"/>
    </row>
    <row r="6" spans="1:5" ht="12.75">
      <c r="A6" s="343"/>
      <c r="B6" s="927" t="s">
        <v>508</v>
      </c>
      <c r="C6" s="927" t="s">
        <v>58</v>
      </c>
      <c r="D6" s="927" t="s">
        <v>61</v>
      </c>
      <c r="E6" s="927"/>
    </row>
    <row r="7" spans="1:5" ht="13.5" thickBot="1">
      <c r="A7" s="342"/>
      <c r="B7" s="928"/>
      <c r="C7" s="928"/>
      <c r="D7" s="928"/>
      <c r="E7" s="928"/>
    </row>
    <row r="8" spans="1:5" ht="12.75">
      <c r="A8" s="11" t="s">
        <v>62</v>
      </c>
      <c r="B8" s="16"/>
      <c r="C8" s="16"/>
      <c r="D8" s="16"/>
      <c r="E8" s="345"/>
    </row>
    <row r="9" spans="1:5" ht="12.75">
      <c r="A9" s="13" t="s">
        <v>302</v>
      </c>
      <c r="B9" s="17">
        <f>SUM('FORMULARIO 2017'!AG41:AK41)</f>
        <v>220564000</v>
      </c>
      <c r="C9" s="18">
        <v>0.75</v>
      </c>
      <c r="D9" s="17">
        <f>+B9*C9</f>
        <v>165423000</v>
      </c>
      <c r="E9" s="346"/>
    </row>
    <row r="10" spans="1:5" ht="13.5" thickBot="1">
      <c r="A10" s="13" t="s">
        <v>63</v>
      </c>
      <c r="B10" s="17"/>
      <c r="C10" s="17"/>
      <c r="D10" s="17">
        <f>+'ANEXO 6'!H25+'ANEXO 7'!H12+'ANEXO 8'!G16+'ANEXO 9'!G18+'ANEXO 14'!F13</f>
        <v>25808500</v>
      </c>
      <c r="E10" s="348" t="s">
        <v>464</v>
      </c>
    </row>
    <row r="11" spans="1:5" ht="13.5" thickBot="1">
      <c r="A11" s="19" t="s">
        <v>64</v>
      </c>
      <c r="B11" s="20"/>
      <c r="C11" s="20"/>
      <c r="D11" s="21">
        <f>+D9-D10</f>
        <v>139614500</v>
      </c>
      <c r="E11" s="347"/>
    </row>
    <row r="12" spans="1:5" ht="13.5" thickBot="1">
      <c r="A12" s="929"/>
      <c r="B12" s="930"/>
      <c r="C12" s="930"/>
      <c r="D12" s="930"/>
      <c r="E12" s="931"/>
    </row>
    <row r="13" spans="1:5" ht="12.75">
      <c r="A13" s="11" t="s">
        <v>65</v>
      </c>
      <c r="B13" s="16"/>
      <c r="C13" s="16"/>
      <c r="D13" s="22"/>
      <c r="E13" s="345"/>
    </row>
    <row r="14" spans="1:5" ht="12.75">
      <c r="A14" s="13" t="s">
        <v>303</v>
      </c>
      <c r="B14" s="17">
        <f>+INFORMACION!C93</f>
        <v>3580000</v>
      </c>
      <c r="C14" s="17"/>
      <c r="D14" s="23"/>
      <c r="E14" s="346"/>
    </row>
    <row r="15" spans="1:5" ht="12.75">
      <c r="A15" s="13" t="s">
        <v>304</v>
      </c>
      <c r="B15" s="17">
        <f>+B9</f>
        <v>220564000</v>
      </c>
      <c r="C15" s="17"/>
      <c r="D15" s="23"/>
      <c r="E15" s="346"/>
    </row>
    <row r="16" spans="1:5" ht="12.75">
      <c r="A16" s="13" t="s">
        <v>66</v>
      </c>
      <c r="B16" s="17">
        <f>SUM(B14:B15)</f>
        <v>224144000</v>
      </c>
      <c r="C16" s="17">
        <v>2</v>
      </c>
      <c r="D16" s="23">
        <f>(B16/C16)*75%</f>
        <v>84054000</v>
      </c>
      <c r="E16" s="346"/>
    </row>
    <row r="17" spans="1:5" ht="13.5" thickBot="1">
      <c r="A17" s="13" t="s">
        <v>63</v>
      </c>
      <c r="B17" s="17"/>
      <c r="C17" s="17"/>
      <c r="D17" s="23">
        <f>+D10</f>
        <v>25808500</v>
      </c>
      <c r="E17" s="346"/>
    </row>
    <row r="18" spans="1:5" ht="13.5" thickBot="1">
      <c r="A18" s="19" t="s">
        <v>60</v>
      </c>
      <c r="B18" s="20"/>
      <c r="C18" s="20"/>
      <c r="D18" s="24">
        <f>+D16-D17</f>
        <v>58245500</v>
      </c>
      <c r="E18" s="347"/>
    </row>
    <row r="19" spans="2:4" ht="12.75">
      <c r="B19" s="10"/>
      <c r="C19" s="10"/>
      <c r="D19" s="10"/>
    </row>
    <row r="20" spans="2:4" ht="12.75">
      <c r="B20" s="10"/>
      <c r="C20" s="10"/>
      <c r="D20" s="10"/>
    </row>
  </sheetData>
  <sheetProtection/>
  <mergeCells count="9">
    <mergeCell ref="E6:E7"/>
    <mergeCell ref="A12:E12"/>
    <mergeCell ref="A1:E1"/>
    <mergeCell ref="A2:E2"/>
    <mergeCell ref="A3:E3"/>
    <mergeCell ref="A4:E4"/>
    <mergeCell ref="D6:D7"/>
    <mergeCell ref="C6:C7"/>
    <mergeCell ref="B6:B7"/>
  </mergeCells>
  <printOptions/>
  <pageMargins left="0.75" right="0.75" top="1" bottom="1" header="0" footer="0"/>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2:N53"/>
  <sheetViews>
    <sheetView showGridLines="0" tabSelected="1" zoomScale="110" zoomScaleNormal="110" zoomScalePageLayoutView="0" workbookViewId="0" topLeftCell="C37">
      <selection activeCell="H46" sqref="H46"/>
    </sheetView>
  </sheetViews>
  <sheetFormatPr defaultColWidth="11.421875" defaultRowHeight="12.75"/>
  <cols>
    <col min="1" max="1" width="7.8515625" style="372" customWidth="1"/>
    <col min="2" max="2" width="49.421875" style="372" customWidth="1"/>
    <col min="3" max="3" width="13.7109375" style="373" bestFit="1" customWidth="1"/>
    <col min="4" max="4" width="19.7109375" style="374" customWidth="1"/>
    <col min="5" max="5" width="15.28125" style="372" bestFit="1" customWidth="1"/>
    <col min="6" max="6" width="13.57421875" style="374" customWidth="1"/>
    <col min="7" max="7" width="14.140625" style="373" customWidth="1"/>
    <col min="8" max="8" width="15.57421875" style="374" customWidth="1"/>
    <col min="9" max="9" width="11.421875" style="372" customWidth="1"/>
    <col min="10" max="10" width="12.8515625" style="372" customWidth="1"/>
    <col min="11" max="11" width="14.7109375" style="372" customWidth="1"/>
    <col min="12" max="12" width="13.28125" style="372" customWidth="1"/>
    <col min="13" max="13" width="14.421875" style="372" customWidth="1"/>
    <col min="14" max="16384" width="11.421875" style="372" customWidth="1"/>
  </cols>
  <sheetData>
    <row r="1" ht="15" thickBot="1"/>
    <row r="2" spans="1:13" ht="15.75" thickBot="1">
      <c r="A2" s="932" t="s">
        <v>558</v>
      </c>
      <c r="B2" s="933"/>
      <c r="C2" s="933"/>
      <c r="D2" s="933"/>
      <c r="E2" s="933"/>
      <c r="F2" s="933"/>
      <c r="G2" s="933"/>
      <c r="H2" s="933"/>
      <c r="I2" s="933"/>
      <c r="J2" s="933"/>
      <c r="K2" s="933"/>
      <c r="L2" s="933"/>
      <c r="M2" s="934"/>
    </row>
    <row r="3" ht="15" thickBot="1"/>
    <row r="4" spans="1:13" ht="51.75" thickBot="1">
      <c r="A4" s="935" t="s">
        <v>518</v>
      </c>
      <c r="B4" s="936"/>
      <c r="C4" s="375" t="s">
        <v>519</v>
      </c>
      <c r="D4" s="376" t="s">
        <v>520</v>
      </c>
      <c r="E4" s="156" t="s">
        <v>521</v>
      </c>
      <c r="F4" s="376" t="s">
        <v>520</v>
      </c>
      <c r="G4" s="375" t="s">
        <v>522</v>
      </c>
      <c r="H4" s="376" t="s">
        <v>520</v>
      </c>
      <c r="I4" s="156" t="s">
        <v>523</v>
      </c>
      <c r="J4" s="156" t="s">
        <v>520</v>
      </c>
      <c r="K4" s="156" t="s">
        <v>140</v>
      </c>
      <c r="L4" s="156" t="s">
        <v>520</v>
      </c>
      <c r="M4" s="477" t="s">
        <v>30</v>
      </c>
    </row>
    <row r="5" spans="1:13" ht="14.25">
      <c r="A5" s="937" t="s">
        <v>524</v>
      </c>
      <c r="B5" s="938"/>
      <c r="C5" s="377">
        <v>150000000</v>
      </c>
      <c r="D5" s="939"/>
      <c r="E5" s="377">
        <v>65000000</v>
      </c>
      <c r="F5" s="939"/>
      <c r="G5" s="377">
        <v>118000000</v>
      </c>
      <c r="H5" s="939"/>
      <c r="I5" s="377">
        <v>75000000</v>
      </c>
      <c r="J5" s="942"/>
      <c r="K5" s="377">
        <v>150000000</v>
      </c>
      <c r="L5" s="942"/>
      <c r="M5" s="945"/>
    </row>
    <row r="6" spans="1:13" ht="14.25">
      <c r="A6" s="948" t="s">
        <v>525</v>
      </c>
      <c r="B6" s="949"/>
      <c r="C6" s="378">
        <v>10000000</v>
      </c>
      <c r="D6" s="940"/>
      <c r="E6" s="378">
        <v>5000000</v>
      </c>
      <c r="F6" s="940"/>
      <c r="G6" s="378">
        <v>0</v>
      </c>
      <c r="H6" s="940"/>
      <c r="I6" s="378">
        <v>2500000</v>
      </c>
      <c r="J6" s="943"/>
      <c r="K6" s="378"/>
      <c r="L6" s="943"/>
      <c r="M6" s="946"/>
    </row>
    <row r="7" spans="1:13" ht="14.25">
      <c r="A7" s="948" t="s">
        <v>107</v>
      </c>
      <c r="B7" s="949"/>
      <c r="C7" s="378">
        <v>7500000</v>
      </c>
      <c r="D7" s="940"/>
      <c r="E7" s="378">
        <v>3200000</v>
      </c>
      <c r="F7" s="940"/>
      <c r="G7" s="378">
        <v>6500000</v>
      </c>
      <c r="H7" s="940"/>
      <c r="I7" s="378">
        <v>2300000</v>
      </c>
      <c r="J7" s="943"/>
      <c r="K7" s="378">
        <v>50000000</v>
      </c>
      <c r="L7" s="943"/>
      <c r="M7" s="946"/>
    </row>
    <row r="8" spans="1:13" ht="15" thickBot="1">
      <c r="A8" s="950" t="s">
        <v>526</v>
      </c>
      <c r="B8" s="951"/>
      <c r="C8" s="379"/>
      <c r="D8" s="940"/>
      <c r="E8" s="380">
        <v>0</v>
      </c>
      <c r="F8" s="940"/>
      <c r="G8" s="381">
        <v>40000000</v>
      </c>
      <c r="H8" s="940"/>
      <c r="I8" s="378">
        <v>10000000</v>
      </c>
      <c r="J8" s="943"/>
      <c r="K8" s="382">
        <v>0</v>
      </c>
      <c r="L8" s="943"/>
      <c r="M8" s="947"/>
    </row>
    <row r="9" spans="1:13" ht="15.75" thickBot="1">
      <c r="A9" s="952" t="s">
        <v>527</v>
      </c>
      <c r="B9" s="953"/>
      <c r="C9" s="201">
        <f>+C5+C6-C7-C8</f>
        <v>152500000</v>
      </c>
      <c r="D9" s="941"/>
      <c r="E9" s="201">
        <f>+E5+E6-E7-E8</f>
        <v>66800000</v>
      </c>
      <c r="F9" s="941"/>
      <c r="G9" s="201">
        <f>+G5+G6-G7-G8</f>
        <v>71500000</v>
      </c>
      <c r="H9" s="941"/>
      <c r="I9" s="310">
        <f>+I5+I6-I7-I8</f>
        <v>65200000</v>
      </c>
      <c r="J9" s="944"/>
      <c r="K9" s="201">
        <f>+K5+K6-K7-K8</f>
        <v>100000000</v>
      </c>
      <c r="L9" s="944"/>
      <c r="M9" s="383">
        <f>+C9+E9+G9+I9+K9</f>
        <v>456000000</v>
      </c>
    </row>
    <row r="10" spans="1:12" ht="15" thickBot="1">
      <c r="A10" s="954"/>
      <c r="B10" s="954"/>
      <c r="C10" s="954"/>
      <c r="D10" s="954"/>
      <c r="E10" s="954"/>
      <c r="F10" s="954"/>
      <c r="G10" s="954"/>
      <c r="H10" s="954"/>
      <c r="I10" s="954"/>
      <c r="J10" s="954"/>
      <c r="K10" s="954"/>
      <c r="L10" s="954"/>
    </row>
    <row r="11" spans="1:13" ht="14.25">
      <c r="A11" s="955" t="s">
        <v>101</v>
      </c>
      <c r="B11" s="384" t="s">
        <v>528</v>
      </c>
      <c r="C11" s="385">
        <v>37500000</v>
      </c>
      <c r="D11" s="386">
        <f>+C11/$C$28</f>
        <v>0.44990462022051325</v>
      </c>
      <c r="E11" s="958"/>
      <c r="F11" s="959"/>
      <c r="G11" s="385">
        <v>30000000</v>
      </c>
      <c r="H11" s="387">
        <f>+G11/G28</f>
        <v>0.9230769230769231</v>
      </c>
      <c r="I11" s="385">
        <v>15000000</v>
      </c>
      <c r="J11" s="386">
        <f>+I11/I28</f>
        <v>0.8426966292134831</v>
      </c>
      <c r="K11" s="961"/>
      <c r="L11" s="963"/>
      <c r="M11" s="958"/>
    </row>
    <row r="12" spans="1:13" ht="14.25">
      <c r="A12" s="956"/>
      <c r="B12" s="388" t="s">
        <v>529</v>
      </c>
      <c r="C12" s="378">
        <v>0</v>
      </c>
      <c r="D12" s="389">
        <f>+C12/$C$28</f>
        <v>0</v>
      </c>
      <c r="E12" s="943"/>
      <c r="F12" s="960"/>
      <c r="G12" s="968"/>
      <c r="H12" s="960"/>
      <c r="I12" s="967"/>
      <c r="J12" s="966"/>
      <c r="K12" s="962"/>
      <c r="L12" s="964"/>
      <c r="M12" s="943"/>
    </row>
    <row r="13" spans="1:13" ht="14.25">
      <c r="A13" s="956"/>
      <c r="B13" s="388" t="s">
        <v>530</v>
      </c>
      <c r="C13" s="378">
        <v>0</v>
      </c>
      <c r="D13" s="389">
        <f>+C13/$C$28</f>
        <v>0</v>
      </c>
      <c r="E13" s="943"/>
      <c r="F13" s="960"/>
      <c r="G13" s="968"/>
      <c r="H13" s="960"/>
      <c r="I13" s="962"/>
      <c r="J13" s="964"/>
      <c r="K13" s="962"/>
      <c r="L13" s="964"/>
      <c r="M13" s="943"/>
    </row>
    <row r="14" spans="1:13" ht="38.25">
      <c r="A14" s="956"/>
      <c r="B14" s="390" t="s">
        <v>531</v>
      </c>
      <c r="C14" s="391">
        <v>0</v>
      </c>
      <c r="D14" s="392">
        <f>+C14/$C$28</f>
        <v>0</v>
      </c>
      <c r="E14" s="943"/>
      <c r="F14" s="960"/>
      <c r="G14" s="968"/>
      <c r="H14" s="960"/>
      <c r="I14" s="942"/>
      <c r="J14" s="965"/>
      <c r="K14" s="942"/>
      <c r="L14" s="965"/>
      <c r="M14" s="943"/>
    </row>
    <row r="15" spans="1:13" ht="14.25">
      <c r="A15" s="956"/>
      <c r="B15" s="388" t="s">
        <v>532</v>
      </c>
      <c r="C15" s="378">
        <v>0</v>
      </c>
      <c r="D15" s="389">
        <f>+C15/$C$28</f>
        <v>0</v>
      </c>
      <c r="E15" s="943"/>
      <c r="F15" s="960"/>
      <c r="G15" s="378">
        <v>0</v>
      </c>
      <c r="H15" s="389">
        <f>_xlfn.IFERROR(G15,G28)</f>
        <v>0</v>
      </c>
      <c r="I15" s="378">
        <v>2500000</v>
      </c>
      <c r="J15" s="389">
        <f>+I15/I28</f>
        <v>0.1404494382022472</v>
      </c>
      <c r="K15" s="393">
        <v>0</v>
      </c>
      <c r="L15" s="389">
        <f>_xlfn.IFERROR(K15,K28)</f>
        <v>0</v>
      </c>
      <c r="M15" s="943"/>
    </row>
    <row r="16" spans="1:13" ht="14.25">
      <c r="A16" s="956"/>
      <c r="B16" s="388" t="s">
        <v>533</v>
      </c>
      <c r="C16" s="394"/>
      <c r="D16" s="395"/>
      <c r="E16" s="378">
        <f>+E9-E6</f>
        <v>61800000</v>
      </c>
      <c r="F16" s="389">
        <f>+E16/$E$28</f>
        <v>1</v>
      </c>
      <c r="G16" s="968"/>
      <c r="H16" s="960"/>
      <c r="I16" s="967"/>
      <c r="J16" s="966"/>
      <c r="K16" s="967"/>
      <c r="L16" s="966"/>
      <c r="M16" s="943"/>
    </row>
    <row r="17" spans="1:13" ht="14.25">
      <c r="A17" s="956"/>
      <c r="B17" s="388" t="s">
        <v>534</v>
      </c>
      <c r="C17" s="378">
        <v>0</v>
      </c>
      <c r="D17" s="389">
        <f aca="true" t="shared" si="0" ref="D17:D27">+C17/$C$28</f>
        <v>0</v>
      </c>
      <c r="E17" s="967"/>
      <c r="F17" s="969"/>
      <c r="G17" s="968"/>
      <c r="H17" s="960"/>
      <c r="I17" s="962"/>
      <c r="J17" s="964"/>
      <c r="K17" s="962"/>
      <c r="L17" s="964"/>
      <c r="M17" s="943"/>
    </row>
    <row r="18" spans="1:13" ht="14.25">
      <c r="A18" s="956"/>
      <c r="B18" s="388" t="s">
        <v>535</v>
      </c>
      <c r="C18" s="378">
        <f>+(C5-C7-C11)*25%</f>
        <v>26250000</v>
      </c>
      <c r="D18" s="389">
        <f t="shared" si="0"/>
        <v>0.31493323415435925</v>
      </c>
      <c r="E18" s="962"/>
      <c r="F18" s="969"/>
      <c r="G18" s="968"/>
      <c r="H18" s="960"/>
      <c r="I18" s="962"/>
      <c r="J18" s="964"/>
      <c r="K18" s="962"/>
      <c r="L18" s="964"/>
      <c r="M18" s="943"/>
    </row>
    <row r="19" spans="1:13" ht="15" thickBot="1">
      <c r="A19" s="956"/>
      <c r="B19" s="396" t="s">
        <v>536</v>
      </c>
      <c r="C19" s="381">
        <v>0</v>
      </c>
      <c r="D19" s="397">
        <f t="shared" si="0"/>
        <v>0</v>
      </c>
      <c r="E19" s="962"/>
      <c r="F19" s="970"/>
      <c r="G19" s="381">
        <v>0</v>
      </c>
      <c r="H19" s="397">
        <f>_xlfn.IFERROR(G19,G28)</f>
        <v>0</v>
      </c>
      <c r="I19" s="962"/>
      <c r="J19" s="964"/>
      <c r="K19" s="962"/>
      <c r="L19" s="964"/>
      <c r="M19" s="967"/>
    </row>
    <row r="20" spans="1:13" ht="15.75" thickBot="1">
      <c r="A20" s="957"/>
      <c r="B20" s="158" t="s">
        <v>543</v>
      </c>
      <c r="C20" s="201">
        <f>SUM(C11:C19)</f>
        <v>63750000</v>
      </c>
      <c r="D20" s="1047">
        <f>+C20/$C$28</f>
        <v>0.7648378543748725</v>
      </c>
      <c r="E20" s="201">
        <f>SUM(E11:E19)</f>
        <v>61800000</v>
      </c>
      <c r="F20" s="398">
        <f>+E20/$E$28</f>
        <v>1</v>
      </c>
      <c r="G20" s="201">
        <f>SUM(G11:G19)</f>
        <v>30000000</v>
      </c>
      <c r="H20" s="399">
        <f>+G20/G28</f>
        <v>0.9230769230769231</v>
      </c>
      <c r="I20" s="201">
        <f>SUM(I11:I19)</f>
        <v>17500000</v>
      </c>
      <c r="J20" s="398">
        <f>+I20/I28</f>
        <v>0.9831460674157303</v>
      </c>
      <c r="K20" s="201">
        <f>SUM(K11:K19)</f>
        <v>0</v>
      </c>
      <c r="L20" s="398">
        <f>_xlfn.IFERROR(K20,K28)</f>
        <v>0</v>
      </c>
      <c r="M20" s="383">
        <f>+C20+E20+G20+I20+K20</f>
        <v>173050000</v>
      </c>
    </row>
    <row r="21" spans="1:12" ht="15" thickBot="1">
      <c r="A21" s="954"/>
      <c r="B21" s="954"/>
      <c r="C21" s="954"/>
      <c r="D21" s="954"/>
      <c r="E21" s="954"/>
      <c r="F21" s="954"/>
      <c r="G21" s="954"/>
      <c r="H21" s="954"/>
      <c r="I21" s="954"/>
      <c r="J21" s="954"/>
      <c r="K21" s="954"/>
      <c r="L21" s="954"/>
    </row>
    <row r="22" spans="1:13" ht="14.25">
      <c r="A22" s="971" t="s">
        <v>542</v>
      </c>
      <c r="B22" s="400" t="s">
        <v>537</v>
      </c>
      <c r="C22" s="401">
        <v>0</v>
      </c>
      <c r="D22" s="402">
        <f t="shared" si="0"/>
        <v>0</v>
      </c>
      <c r="E22" s="974"/>
      <c r="F22" s="975"/>
      <c r="G22" s="401">
        <v>2500000</v>
      </c>
      <c r="H22" s="386">
        <f>+G22/G28</f>
        <v>0.07692307692307693</v>
      </c>
      <c r="I22" s="403">
        <v>0</v>
      </c>
      <c r="J22" s="402">
        <f>_xlfn.IFERROR(I22,I28)</f>
        <v>0</v>
      </c>
      <c r="K22" s="961"/>
      <c r="L22" s="963"/>
      <c r="M22" s="980"/>
    </row>
    <row r="23" spans="1:13" ht="14.25">
      <c r="A23" s="972"/>
      <c r="B23" s="404" t="s">
        <v>538</v>
      </c>
      <c r="C23" s="391">
        <v>250000</v>
      </c>
      <c r="D23" s="392">
        <f t="shared" si="0"/>
        <v>0.0029993641348034215</v>
      </c>
      <c r="E23" s="976"/>
      <c r="F23" s="977"/>
      <c r="G23" s="391">
        <v>0</v>
      </c>
      <c r="H23" s="389">
        <f>_xlfn.IFERROR(G23,G28)</f>
        <v>0</v>
      </c>
      <c r="I23" s="393">
        <v>0</v>
      </c>
      <c r="J23" s="392">
        <f>_xlfn.IFERROR(I23,I28)</f>
        <v>0</v>
      </c>
      <c r="K23" s="962"/>
      <c r="L23" s="964"/>
      <c r="M23" s="946"/>
    </row>
    <row r="24" spans="1:13" ht="14.25">
      <c r="A24" s="972"/>
      <c r="B24" s="404" t="s">
        <v>539</v>
      </c>
      <c r="C24" s="391">
        <f>+'[1]ANEXO 6'!E50</f>
        <v>12234000</v>
      </c>
      <c r="D24" s="392">
        <f t="shared" si="0"/>
        <v>0.14677688330074024</v>
      </c>
      <c r="E24" s="976"/>
      <c r="F24" s="977"/>
      <c r="G24" s="968"/>
      <c r="H24" s="960"/>
      <c r="I24" s="967"/>
      <c r="J24" s="966"/>
      <c r="K24" s="962"/>
      <c r="L24" s="964"/>
      <c r="M24" s="946"/>
    </row>
    <row r="25" spans="1:13" ht="14.25">
      <c r="A25" s="972"/>
      <c r="B25" s="404" t="s">
        <v>540</v>
      </c>
      <c r="C25" s="391">
        <f>+'[1]ANEXO 6'!E49</f>
        <v>6117000</v>
      </c>
      <c r="D25" s="392">
        <f t="shared" si="0"/>
        <v>0.07338844165037012</v>
      </c>
      <c r="E25" s="976"/>
      <c r="F25" s="977"/>
      <c r="G25" s="968"/>
      <c r="H25" s="960"/>
      <c r="I25" s="942"/>
      <c r="J25" s="965"/>
      <c r="K25" s="962"/>
      <c r="L25" s="964"/>
      <c r="M25" s="946"/>
    </row>
    <row r="26" spans="1:13" ht="15" thickBot="1">
      <c r="A26" s="973"/>
      <c r="B26" s="405" t="s">
        <v>541</v>
      </c>
      <c r="C26" s="406">
        <v>1000000</v>
      </c>
      <c r="D26" s="407">
        <f t="shared" si="0"/>
        <v>0.011997456539213686</v>
      </c>
      <c r="E26" s="976"/>
      <c r="F26" s="977"/>
      <c r="G26" s="381">
        <v>0</v>
      </c>
      <c r="H26" s="397">
        <f>_xlfn.IFERROR(G26,G28)</f>
        <v>0</v>
      </c>
      <c r="I26" s="381">
        <v>300000</v>
      </c>
      <c r="J26" s="397">
        <f>+I26/I27</f>
        <v>1</v>
      </c>
      <c r="K26" s="962"/>
      <c r="L26" s="964"/>
      <c r="M26" s="947"/>
    </row>
    <row r="27" spans="1:13" ht="15" thickBot="1">
      <c r="A27" s="849" t="s">
        <v>544</v>
      </c>
      <c r="B27" s="853"/>
      <c r="C27" s="201">
        <f>SUM(C22:C26)</f>
        <v>19601000</v>
      </c>
      <c r="D27" s="398">
        <f t="shared" si="0"/>
        <v>0.23516214562512747</v>
      </c>
      <c r="E27" s="978"/>
      <c r="F27" s="979"/>
      <c r="G27" s="201">
        <f>SUM(G22:G26)</f>
        <v>2500000</v>
      </c>
      <c r="H27" s="408">
        <f>+G27/G28</f>
        <v>0.07692307692307693</v>
      </c>
      <c r="I27" s="201">
        <f>SUM(I22:I26)</f>
        <v>300000</v>
      </c>
      <c r="J27" s="398">
        <f>+I27/I27</f>
        <v>1</v>
      </c>
      <c r="K27" s="962"/>
      <c r="L27" s="964"/>
      <c r="M27" s="409">
        <f>+C27+G27+I27</f>
        <v>22401000</v>
      </c>
    </row>
    <row r="28" spans="1:13" ht="15" thickBot="1">
      <c r="A28" s="981" t="s">
        <v>545</v>
      </c>
      <c r="B28" s="982"/>
      <c r="C28" s="162">
        <f>+C20+C27</f>
        <v>83351000</v>
      </c>
      <c r="D28" s="410">
        <v>1</v>
      </c>
      <c r="E28" s="411">
        <f>+E20+E27</f>
        <v>61800000</v>
      </c>
      <c r="F28" s="412">
        <f>+E28/$E$28</f>
        <v>1</v>
      </c>
      <c r="G28" s="162">
        <f>+G20+G27</f>
        <v>32500000</v>
      </c>
      <c r="H28" s="413">
        <f>+G28/G28</f>
        <v>1</v>
      </c>
      <c r="I28" s="162">
        <f>+I20+I27</f>
        <v>17800000</v>
      </c>
      <c r="J28" s="410">
        <f>+I28/I28</f>
        <v>1</v>
      </c>
      <c r="K28" s="201">
        <f>+K20+K27</f>
        <v>0</v>
      </c>
      <c r="L28" s="398">
        <f>_xlfn.IFERROR(K28,K28)</f>
        <v>0</v>
      </c>
      <c r="M28" s="414">
        <f>+C28+E28+G28+I28+K28</f>
        <v>195451000</v>
      </c>
    </row>
    <row r="29" spans="1:13" ht="15" thickBot="1">
      <c r="A29" s="983" t="s">
        <v>551</v>
      </c>
      <c r="B29" s="984"/>
      <c r="C29" s="411">
        <f>+C9*40%</f>
        <v>61000000</v>
      </c>
      <c r="D29" s="985">
        <f>+C29/C30</f>
        <v>0.6666666666666666</v>
      </c>
      <c r="E29" s="411">
        <f>+E28</f>
        <v>61800000</v>
      </c>
      <c r="F29" s="987">
        <f>+E29/E30</f>
        <v>12.36</v>
      </c>
      <c r="G29" s="201">
        <f>+G9*10%</f>
        <v>7150000</v>
      </c>
      <c r="H29" s="989"/>
      <c r="I29" s="201">
        <f>+I9*10%</f>
        <v>6520000</v>
      </c>
      <c r="J29" s="991"/>
      <c r="K29" s="201">
        <v>0</v>
      </c>
      <c r="L29" s="991"/>
      <c r="M29" s="415">
        <f>+C29+E29+G29+I29+K29</f>
        <v>136470000</v>
      </c>
    </row>
    <row r="30" spans="1:13" ht="15" thickBot="1">
      <c r="A30" s="993" t="s">
        <v>555</v>
      </c>
      <c r="B30" s="994"/>
      <c r="C30" s="416">
        <f>+C9-C29</f>
        <v>91500000</v>
      </c>
      <c r="D30" s="986"/>
      <c r="E30" s="416">
        <f>+E9-E29</f>
        <v>5000000</v>
      </c>
      <c r="F30" s="988"/>
      <c r="G30" s="417">
        <f>+G9-G29</f>
        <v>64350000</v>
      </c>
      <c r="H30" s="990"/>
      <c r="I30" s="417">
        <f>+I9-I29</f>
        <v>58680000</v>
      </c>
      <c r="J30" s="992"/>
      <c r="K30" s="417">
        <f>+K9-K29</f>
        <v>100000000</v>
      </c>
      <c r="L30" s="992"/>
      <c r="M30" s="418">
        <f>+M9-M29</f>
        <v>319530000</v>
      </c>
    </row>
    <row r="31" spans="8:13" ht="15.75" thickBot="1">
      <c r="H31" s="419"/>
      <c r="M31" s="420" t="s">
        <v>559</v>
      </c>
    </row>
    <row r="32" spans="1:13" ht="26.25" thickBot="1">
      <c r="A32" s="155">
        <v>1</v>
      </c>
      <c r="B32" s="369" t="s">
        <v>546</v>
      </c>
      <c r="C32" s="421"/>
      <c r="D32" s="422">
        <f>+C20/C28</f>
        <v>0.7648378543748725</v>
      </c>
      <c r="E32" s="423"/>
      <c r="F32" s="422">
        <f>+E20/E28</f>
        <v>1</v>
      </c>
      <c r="G32" s="424"/>
      <c r="H32" s="422">
        <f>+G20/G28</f>
        <v>0.9230769230769231</v>
      </c>
      <c r="I32" s="423"/>
      <c r="J32" s="422">
        <f>+I20/I28</f>
        <v>0.9831460674157303</v>
      </c>
      <c r="K32" s="423"/>
      <c r="L32" s="425">
        <f>_xlfn.IFERROR(K20,K28)</f>
        <v>0</v>
      </c>
      <c r="M32" s="426"/>
    </row>
    <row r="33" ht="15" thickBot="1"/>
    <row r="34" spans="1:5" ht="15" thickBot="1">
      <c r="A34" s="995">
        <v>2</v>
      </c>
      <c r="B34" s="816" t="s">
        <v>547</v>
      </c>
      <c r="C34" s="818"/>
      <c r="D34" s="817"/>
      <c r="E34" s="373"/>
    </row>
    <row r="35" spans="1:4" ht="15" thickBot="1">
      <c r="A35" s="996"/>
      <c r="B35" s="937" t="s">
        <v>548</v>
      </c>
      <c r="C35" s="998"/>
      <c r="D35" s="385">
        <v>13050780000</v>
      </c>
    </row>
    <row r="36" spans="1:13" ht="15" thickBot="1">
      <c r="A36" s="996"/>
      <c r="B36" s="370" t="s">
        <v>549</v>
      </c>
      <c r="C36" s="408">
        <v>0.035</v>
      </c>
      <c r="D36" s="389"/>
      <c r="M36" s="373"/>
    </row>
    <row r="37" spans="1:13" ht="15" thickBot="1">
      <c r="A37" s="997"/>
      <c r="B37" s="999" t="s">
        <v>550</v>
      </c>
      <c r="C37" s="1000"/>
      <c r="D37" s="427">
        <f>+D35*C36</f>
        <v>456777300.00000006</v>
      </c>
      <c r="M37" s="373"/>
    </row>
    <row r="38" spans="9:11" ht="15" thickBot="1">
      <c r="I38" s="373"/>
      <c r="J38" s="373"/>
      <c r="K38" s="373"/>
    </row>
    <row r="39" spans="1:6" ht="26.25" thickBot="1">
      <c r="A39" s="1002">
        <v>3</v>
      </c>
      <c r="B39" s="155" t="s">
        <v>552</v>
      </c>
      <c r="C39" s="375" t="s">
        <v>553</v>
      </c>
      <c r="D39" s="1005" t="s">
        <v>554</v>
      </c>
      <c r="E39" s="1006"/>
      <c r="F39" s="1007"/>
    </row>
    <row r="40" spans="1:14" ht="14.25">
      <c r="A40" s="1003"/>
      <c r="B40" s="130" t="s">
        <v>112</v>
      </c>
      <c r="C40" s="428">
        <f>+D20</f>
        <v>0.7648378543748725</v>
      </c>
      <c r="D40" s="409">
        <f>+C29</f>
        <v>61000000</v>
      </c>
      <c r="E40" s="428">
        <f>+C40</f>
        <v>0.7648378543748725</v>
      </c>
      <c r="F40" s="134">
        <f>ROUND(+D40*C40,-3)</f>
        <v>46655000</v>
      </c>
      <c r="I40" s="373"/>
      <c r="J40" s="373"/>
      <c r="K40" s="373"/>
      <c r="L40" s="374"/>
      <c r="N40" s="373"/>
    </row>
    <row r="41" spans="1:14" ht="14.25">
      <c r="A41" s="1003"/>
      <c r="B41" s="429" t="s">
        <v>116</v>
      </c>
      <c r="C41" s="413">
        <f>+F20</f>
        <v>1</v>
      </c>
      <c r="D41" s="430">
        <f>+E29</f>
        <v>61800000</v>
      </c>
      <c r="E41" s="413">
        <v>1</v>
      </c>
      <c r="F41" s="430">
        <f>ROUND(+D41*E41,-3)</f>
        <v>61800000</v>
      </c>
      <c r="H41" s="1048" t="s">
        <v>646</v>
      </c>
      <c r="I41" s="373"/>
      <c r="K41" s="373"/>
      <c r="N41" s="373"/>
    </row>
    <row r="42" spans="1:14" ht="14.25">
      <c r="A42" s="1003"/>
      <c r="B42" s="429" t="s">
        <v>126</v>
      </c>
      <c r="C42" s="413">
        <f>+H20</f>
        <v>0.9230769230769231</v>
      </c>
      <c r="D42" s="430">
        <f>+G29</f>
        <v>7150000</v>
      </c>
      <c r="E42" s="413">
        <f>+H28-H27</f>
        <v>0.9230769230769231</v>
      </c>
      <c r="F42" s="430">
        <f>ROUND(+D42*C42,-3)</f>
        <v>6600000</v>
      </c>
      <c r="H42" s="374" t="s">
        <v>647</v>
      </c>
      <c r="I42" s="373"/>
      <c r="K42" s="373"/>
      <c r="N42" s="373"/>
    </row>
    <row r="43" spans="1:14" ht="14.25">
      <c r="A43" s="1003"/>
      <c r="B43" s="429" t="s">
        <v>135</v>
      </c>
      <c r="C43" s="413">
        <f>+J20</f>
        <v>0.9831460674157303</v>
      </c>
      <c r="D43" s="124">
        <f>+I29</f>
        <v>6520000</v>
      </c>
      <c r="E43" s="413">
        <f>+C43</f>
        <v>0.9831460674157303</v>
      </c>
      <c r="F43" s="124">
        <f>ROUND(+D43*E43,-3)</f>
        <v>6410000</v>
      </c>
      <c r="H43" s="1049">
        <v>807003087</v>
      </c>
      <c r="I43" s="373"/>
      <c r="K43" s="373"/>
      <c r="N43" s="373"/>
    </row>
    <row r="44" spans="1:14" ht="15" thickBot="1">
      <c r="A44" s="1003"/>
      <c r="B44" s="429" t="s">
        <v>140</v>
      </c>
      <c r="C44" s="413">
        <f>+L20</f>
        <v>0</v>
      </c>
      <c r="D44" s="430">
        <f>+K29</f>
        <v>0</v>
      </c>
      <c r="E44" s="413">
        <v>0</v>
      </c>
      <c r="F44" s="430">
        <v>0</v>
      </c>
      <c r="I44" s="373"/>
      <c r="K44" s="373"/>
      <c r="N44" s="373"/>
    </row>
    <row r="45" spans="1:11" ht="15.75" thickBot="1">
      <c r="A45" s="1004"/>
      <c r="B45" s="1008" t="s">
        <v>560</v>
      </c>
      <c r="C45" s="1009"/>
      <c r="D45" s="1009"/>
      <c r="E45" s="1010"/>
      <c r="F45" s="383">
        <f>SUM(F40:F44)</f>
        <v>121465000</v>
      </c>
      <c r="I45" s="373"/>
      <c r="K45" s="373"/>
    </row>
    <row r="46" spans="9:14" ht="14.25">
      <c r="I46" s="373"/>
      <c r="N46" s="373"/>
    </row>
    <row r="47" spans="8:14" ht="15" thickBot="1">
      <c r="H47" s="371"/>
      <c r="N47" s="373"/>
    </row>
    <row r="48" spans="1:13" ht="77.25" thickBot="1">
      <c r="A48" s="1011">
        <v>4</v>
      </c>
      <c r="B48" s="431" t="s">
        <v>246</v>
      </c>
      <c r="C48" s="375" t="s">
        <v>561</v>
      </c>
      <c r="D48" s="432" t="s">
        <v>585</v>
      </c>
      <c r="E48" s="156" t="s">
        <v>562</v>
      </c>
      <c r="F48" s="432" t="s">
        <v>563</v>
      </c>
      <c r="G48" s="375" t="s">
        <v>556</v>
      </c>
      <c r="L48" s="373"/>
      <c r="M48" s="373"/>
    </row>
    <row r="49" spans="1:13" ht="15" thickBot="1">
      <c r="A49" s="1012"/>
      <c r="B49" s="433" t="s">
        <v>564</v>
      </c>
      <c r="C49" s="415">
        <f>+D37</f>
        <v>456777300.00000006</v>
      </c>
      <c r="D49" s="415">
        <f>+F45</f>
        <v>121465000</v>
      </c>
      <c r="E49" s="415">
        <f>+C49-D49</f>
        <v>335312300.00000006</v>
      </c>
      <c r="F49" s="415">
        <f>+M30</f>
        <v>319530000</v>
      </c>
      <c r="G49" s="415">
        <f>+MAX(E49,F49)</f>
        <v>335312300.00000006</v>
      </c>
      <c r="K49" s="373"/>
      <c r="L49" s="373"/>
      <c r="M49" s="373"/>
    </row>
    <row r="50" spans="1:13" ht="15" thickBot="1">
      <c r="A50" s="1012"/>
      <c r="B50" s="1014" t="s">
        <v>565</v>
      </c>
      <c r="C50" s="1015"/>
      <c r="D50" s="1015"/>
      <c r="E50" s="1016"/>
      <c r="F50" s="430">
        <v>31859</v>
      </c>
      <c r="G50" s="434">
        <f>+G49/31859</f>
        <v>10524.884647980165</v>
      </c>
      <c r="K50" s="373"/>
      <c r="L50" s="373"/>
      <c r="M50" s="373"/>
    </row>
    <row r="51" spans="1:13" ht="15.75" thickBot="1">
      <c r="A51" s="1013"/>
      <c r="B51" s="1017" t="s">
        <v>566</v>
      </c>
      <c r="C51" s="1018"/>
      <c r="D51" s="1018"/>
      <c r="E51" s="1018"/>
      <c r="F51" s="1019"/>
      <c r="G51" s="201">
        <f>ROUND(((IF(G50&gt;4000,(G50-4000)*35%+870,IF(AND(G50&lt;=4000,G50&gt;3000),(G50-3000)*33%+540,IF(AND(G50&lt;=3000,G50&gt;2000),(G50-2000)*30%+240,IF(AND(G50&lt;=2000,G50&gt;1000),(G50-1000)*20%+40,IF(AND(G50&lt;=1000,G50&gt;600),(G50-600)*10%,0)))))))*F50,-3)</f>
        <v>100474000</v>
      </c>
      <c r="L51" s="373"/>
      <c r="M51" s="373"/>
    </row>
    <row r="52" spans="12:13" ht="14.25">
      <c r="L52" s="373"/>
      <c r="M52" s="373"/>
    </row>
    <row r="53" spans="2:13" ht="14.25">
      <c r="B53" s="1001" t="s">
        <v>557</v>
      </c>
      <c r="C53" s="1001"/>
      <c r="D53" s="1001"/>
      <c r="E53" s="1001"/>
      <c r="F53" s="1001"/>
      <c r="G53" s="1001"/>
      <c r="L53" s="373"/>
      <c r="M53" s="373"/>
    </row>
  </sheetData>
  <sheetProtection/>
  <mergeCells count="62">
    <mergeCell ref="B53:G53"/>
    <mergeCell ref="A39:A45"/>
    <mergeCell ref="D39:F39"/>
    <mergeCell ref="B45:E45"/>
    <mergeCell ref="A48:A51"/>
    <mergeCell ref="B50:E50"/>
    <mergeCell ref="B51:F51"/>
    <mergeCell ref="L29:L30"/>
    <mergeCell ref="A30:B30"/>
    <mergeCell ref="A34:A37"/>
    <mergeCell ref="B34:D34"/>
    <mergeCell ref="B35:C35"/>
    <mergeCell ref="B37:C37"/>
    <mergeCell ref="A28:B28"/>
    <mergeCell ref="A29:B29"/>
    <mergeCell ref="D29:D30"/>
    <mergeCell ref="F29:F30"/>
    <mergeCell ref="H29:H30"/>
    <mergeCell ref="J29:J30"/>
    <mergeCell ref="M22:M26"/>
    <mergeCell ref="G24:G25"/>
    <mergeCell ref="H24:H25"/>
    <mergeCell ref="I24:I25"/>
    <mergeCell ref="J24:J25"/>
    <mergeCell ref="A27:B27"/>
    <mergeCell ref="E17:E19"/>
    <mergeCell ref="F17:F19"/>
    <mergeCell ref="A21:L21"/>
    <mergeCell ref="A22:A26"/>
    <mergeCell ref="E22:F27"/>
    <mergeCell ref="K22:K27"/>
    <mergeCell ref="L22:L27"/>
    <mergeCell ref="M11:M19"/>
    <mergeCell ref="G12:G14"/>
    <mergeCell ref="H12:H14"/>
    <mergeCell ref="I12:I14"/>
    <mergeCell ref="J12:J14"/>
    <mergeCell ref="G16:G18"/>
    <mergeCell ref="H16:H18"/>
    <mergeCell ref="I16:I19"/>
    <mergeCell ref="J16:J19"/>
    <mergeCell ref="K16:K19"/>
    <mergeCell ref="A7:B7"/>
    <mergeCell ref="A8:B8"/>
    <mergeCell ref="A9:B9"/>
    <mergeCell ref="A10:L10"/>
    <mergeCell ref="A11:A20"/>
    <mergeCell ref="E11:E15"/>
    <mergeCell ref="F11:F15"/>
    <mergeCell ref="K11:K14"/>
    <mergeCell ref="L11:L14"/>
    <mergeCell ref="L16:L19"/>
    <mergeCell ref="A2:M2"/>
    <mergeCell ref="A4:B4"/>
    <mergeCell ref="A5:B5"/>
    <mergeCell ref="D5:D9"/>
    <mergeCell ref="F5:F9"/>
    <mergeCell ref="H5:H9"/>
    <mergeCell ref="J5:J9"/>
    <mergeCell ref="L5:L9"/>
    <mergeCell ref="M5:M8"/>
    <mergeCell ref="A6:B6"/>
  </mergeCells>
  <hyperlinks>
    <hyperlink ref="H41" r:id="rId1" display="www.consultorcontable.com"/>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K37"/>
  <sheetViews>
    <sheetView showGridLines="0" zoomScalePageLayoutView="0" workbookViewId="0" topLeftCell="A10">
      <selection activeCell="A1" sqref="A1:H1"/>
    </sheetView>
  </sheetViews>
  <sheetFormatPr defaultColWidth="11.57421875" defaultRowHeight="12.75"/>
  <cols>
    <col min="1" max="6" width="11.57421875" style="294" customWidth="1"/>
    <col min="7" max="7" width="34.57421875" style="294" customWidth="1"/>
    <col min="8" max="16384" width="11.57421875" style="294" customWidth="1"/>
  </cols>
  <sheetData>
    <row r="1" spans="1:8" ht="15">
      <c r="A1" s="1026" t="s">
        <v>513</v>
      </c>
      <c r="B1" s="1026"/>
      <c r="C1" s="1026"/>
      <c r="D1" s="1026"/>
      <c r="E1" s="1026"/>
      <c r="F1" s="1026"/>
      <c r="G1" s="1026"/>
      <c r="H1" s="1026"/>
    </row>
    <row r="2" spans="1:11" ht="15">
      <c r="A2" s="1030" t="s">
        <v>517</v>
      </c>
      <c r="B2" s="1030"/>
      <c r="C2" s="1030"/>
      <c r="D2" s="1030"/>
      <c r="E2" s="1030"/>
      <c r="F2" s="1030"/>
      <c r="G2" s="1030"/>
      <c r="H2" s="1030"/>
      <c r="I2" s="295"/>
      <c r="J2" s="295"/>
      <c r="K2" s="295"/>
    </row>
    <row r="3" spans="1:11" ht="15">
      <c r="A3" s="1030" t="s">
        <v>397</v>
      </c>
      <c r="B3" s="1030"/>
      <c r="C3" s="1030"/>
      <c r="D3" s="1030"/>
      <c r="E3" s="1030"/>
      <c r="F3" s="1030"/>
      <c r="G3" s="1030"/>
      <c r="H3" s="1030"/>
      <c r="I3" s="295"/>
      <c r="J3" s="295"/>
      <c r="K3" s="295"/>
    </row>
    <row r="4" spans="1:11" ht="15">
      <c r="A4" s="1030" t="s">
        <v>398</v>
      </c>
      <c r="B4" s="1030"/>
      <c r="C4" s="1030"/>
      <c r="D4" s="1030"/>
      <c r="E4" s="1030"/>
      <c r="F4" s="1030"/>
      <c r="G4" s="1030"/>
      <c r="H4" s="1030"/>
      <c r="I4" s="295"/>
      <c r="J4" s="295"/>
      <c r="K4" s="295"/>
    </row>
    <row r="5" spans="1:8" ht="15">
      <c r="A5" s="295"/>
      <c r="B5" s="295"/>
      <c r="C5" s="295"/>
      <c r="D5" s="295"/>
      <c r="E5" s="295"/>
      <c r="F5" s="295"/>
      <c r="G5" s="295"/>
      <c r="H5" s="295"/>
    </row>
    <row r="7" spans="1:8" ht="14.25">
      <c r="A7" s="1031" t="s">
        <v>390</v>
      </c>
      <c r="B7" s="1031"/>
      <c r="C7" s="1031"/>
      <c r="D7" s="1031"/>
      <c r="E7" s="1031"/>
      <c r="F7" s="1031"/>
      <c r="G7" s="1031"/>
      <c r="H7" s="1031"/>
    </row>
    <row r="8" spans="1:8" ht="14.25">
      <c r="A8" s="1027" t="s">
        <v>391</v>
      </c>
      <c r="B8" s="1028"/>
      <c r="C8" s="1028"/>
      <c r="D8" s="1028"/>
      <c r="E8" s="1028"/>
      <c r="F8" s="1028"/>
      <c r="G8" s="1029"/>
      <c r="H8" s="296" t="s">
        <v>392</v>
      </c>
    </row>
    <row r="9" spans="1:8" ht="14.25">
      <c r="A9" s="1020" t="s">
        <v>399</v>
      </c>
      <c r="B9" s="1020"/>
      <c r="C9" s="1020"/>
      <c r="D9" s="1020"/>
      <c r="E9" s="1020"/>
      <c r="F9" s="1020"/>
      <c r="G9" s="1020"/>
      <c r="H9" s="296"/>
    </row>
    <row r="10" spans="1:8" ht="14.25">
      <c r="A10" s="1020" t="s">
        <v>393</v>
      </c>
      <c r="B10" s="1020"/>
      <c r="C10" s="1020"/>
      <c r="D10" s="1020"/>
      <c r="E10" s="1020"/>
      <c r="F10" s="1020"/>
      <c r="G10" s="1020"/>
      <c r="H10" s="296"/>
    </row>
    <row r="11" spans="1:8" ht="14.25">
      <c r="A11" s="1020" t="s">
        <v>400</v>
      </c>
      <c r="B11" s="1020"/>
      <c r="C11" s="1020"/>
      <c r="D11" s="1020"/>
      <c r="E11" s="1020"/>
      <c r="F11" s="1020"/>
      <c r="G11" s="1020"/>
      <c r="H11" s="297">
        <v>1</v>
      </c>
    </row>
    <row r="12" spans="1:8" ht="14.25">
      <c r="A12" s="1020" t="s">
        <v>402</v>
      </c>
      <c r="B12" s="1020"/>
      <c r="C12" s="1020"/>
      <c r="D12" s="1020"/>
      <c r="E12" s="1020"/>
      <c r="F12" s="1020"/>
      <c r="G12" s="1020"/>
      <c r="H12" s="297">
        <f>+H11+1</f>
        <v>2</v>
      </c>
    </row>
    <row r="13" spans="1:8" ht="14.25">
      <c r="A13" s="1023" t="s">
        <v>515</v>
      </c>
      <c r="B13" s="1024"/>
      <c r="C13" s="1024"/>
      <c r="D13" s="1024"/>
      <c r="E13" s="1024"/>
      <c r="F13" s="1024"/>
      <c r="G13" s="1025"/>
      <c r="H13" s="297">
        <v>3</v>
      </c>
    </row>
    <row r="14" spans="1:8" ht="14.25">
      <c r="A14" s="1020" t="s">
        <v>403</v>
      </c>
      <c r="B14" s="1020"/>
      <c r="C14" s="1020"/>
      <c r="D14" s="1020"/>
      <c r="E14" s="1020"/>
      <c r="F14" s="1020"/>
      <c r="G14" s="1020"/>
      <c r="H14" s="297">
        <v>4</v>
      </c>
    </row>
    <row r="15" spans="1:8" ht="14.25">
      <c r="A15" s="1023" t="s">
        <v>404</v>
      </c>
      <c r="B15" s="1024"/>
      <c r="C15" s="1024"/>
      <c r="D15" s="1024"/>
      <c r="E15" s="1024"/>
      <c r="F15" s="1024"/>
      <c r="G15" s="1025"/>
      <c r="H15" s="297">
        <v>5</v>
      </c>
    </row>
    <row r="16" spans="1:8" ht="14.25">
      <c r="A16" s="1020" t="s">
        <v>406</v>
      </c>
      <c r="B16" s="1020"/>
      <c r="C16" s="1020"/>
      <c r="D16" s="1020"/>
      <c r="E16" s="1020"/>
      <c r="F16" s="1020"/>
      <c r="G16" s="1020"/>
      <c r="H16" s="297">
        <v>6</v>
      </c>
    </row>
    <row r="17" spans="1:8" ht="14.25">
      <c r="A17" s="1020" t="s">
        <v>405</v>
      </c>
      <c r="B17" s="1020"/>
      <c r="C17" s="1020"/>
      <c r="D17" s="1020"/>
      <c r="E17" s="1020"/>
      <c r="F17" s="1020"/>
      <c r="G17" s="1020"/>
      <c r="H17" s="297">
        <f>+H16+1</f>
        <v>7</v>
      </c>
    </row>
    <row r="18" spans="1:8" ht="14.25">
      <c r="A18" s="1023" t="s">
        <v>407</v>
      </c>
      <c r="B18" s="1024"/>
      <c r="C18" s="1024"/>
      <c r="D18" s="1024"/>
      <c r="E18" s="1024"/>
      <c r="F18" s="1024"/>
      <c r="G18" s="1025"/>
      <c r="H18" s="297">
        <f>+H17+1</f>
        <v>8</v>
      </c>
    </row>
    <row r="19" spans="1:8" ht="14.25">
      <c r="A19" s="1023" t="s">
        <v>516</v>
      </c>
      <c r="B19" s="1024"/>
      <c r="C19" s="1024"/>
      <c r="D19" s="1024"/>
      <c r="E19" s="1024"/>
      <c r="F19" s="1024"/>
      <c r="G19" s="1025"/>
      <c r="H19" s="297">
        <v>9</v>
      </c>
    </row>
    <row r="20" spans="1:8" ht="14.25">
      <c r="A20" s="1023" t="s">
        <v>408</v>
      </c>
      <c r="B20" s="1024"/>
      <c r="C20" s="1024"/>
      <c r="D20" s="1024"/>
      <c r="E20" s="1024"/>
      <c r="F20" s="1024"/>
      <c r="G20" s="1025"/>
      <c r="H20" s="297">
        <v>10</v>
      </c>
    </row>
    <row r="21" spans="1:8" ht="14.25">
      <c r="A21" s="1023" t="s">
        <v>77</v>
      </c>
      <c r="B21" s="1024"/>
      <c r="C21" s="1024"/>
      <c r="D21" s="1024"/>
      <c r="E21" s="1024"/>
      <c r="F21" s="1024"/>
      <c r="G21" s="1025"/>
      <c r="H21" s="297">
        <v>11</v>
      </c>
    </row>
    <row r="22" spans="1:8" ht="14.25">
      <c r="A22" s="1023" t="s">
        <v>409</v>
      </c>
      <c r="B22" s="1024"/>
      <c r="C22" s="1024"/>
      <c r="D22" s="1024"/>
      <c r="E22" s="1024"/>
      <c r="F22" s="1024"/>
      <c r="G22" s="1025"/>
      <c r="H22" s="297">
        <v>12</v>
      </c>
    </row>
    <row r="23" spans="1:8" ht="14.25">
      <c r="A23" s="1023" t="s">
        <v>151</v>
      </c>
      <c r="B23" s="1024"/>
      <c r="C23" s="1024"/>
      <c r="D23" s="1024"/>
      <c r="E23" s="1024"/>
      <c r="F23" s="1024"/>
      <c r="G23" s="1025"/>
      <c r="H23" s="297">
        <v>13</v>
      </c>
    </row>
    <row r="24" spans="1:8" ht="14.25">
      <c r="A24" s="1020" t="s">
        <v>394</v>
      </c>
      <c r="B24" s="1020"/>
      <c r="C24" s="1020"/>
      <c r="D24" s="1020"/>
      <c r="E24" s="1020"/>
      <c r="F24" s="1020"/>
      <c r="G24" s="1020"/>
      <c r="H24" s="297">
        <v>14</v>
      </c>
    </row>
    <row r="25" spans="1:8" ht="14.25">
      <c r="A25" s="1020" t="s">
        <v>411</v>
      </c>
      <c r="B25" s="1020"/>
      <c r="C25" s="1020"/>
      <c r="D25" s="1020"/>
      <c r="E25" s="1020"/>
      <c r="F25" s="1020"/>
      <c r="G25" s="1020"/>
      <c r="H25" s="298" t="s">
        <v>170</v>
      </c>
    </row>
    <row r="26" spans="1:8" ht="14.25">
      <c r="A26" s="1020" t="s">
        <v>395</v>
      </c>
      <c r="B26" s="1020"/>
      <c r="C26" s="1020"/>
      <c r="D26" s="1020"/>
      <c r="E26" s="1020"/>
      <c r="F26" s="1020"/>
      <c r="G26" s="1020"/>
      <c r="H26" s="297"/>
    </row>
    <row r="27" spans="1:8" ht="14.25">
      <c r="A27" s="1020" t="s">
        <v>396</v>
      </c>
      <c r="B27" s="1020"/>
      <c r="C27" s="1020"/>
      <c r="D27" s="1020"/>
      <c r="E27" s="1020"/>
      <c r="F27" s="1020"/>
      <c r="G27" s="1020"/>
      <c r="H27" s="299"/>
    </row>
    <row r="37" spans="1:8" ht="14.25">
      <c r="A37" s="1021"/>
      <c r="B37" s="1021"/>
      <c r="C37" s="1021"/>
      <c r="D37" s="1021"/>
      <c r="E37" s="1022"/>
      <c r="F37" s="1022"/>
      <c r="G37" s="1022"/>
      <c r="H37" s="1022"/>
    </row>
  </sheetData>
  <sheetProtection/>
  <mergeCells count="27">
    <mergeCell ref="A19:G19"/>
    <mergeCell ref="A14:G14"/>
    <mergeCell ref="A2:H2"/>
    <mergeCell ref="A3:H3"/>
    <mergeCell ref="A4:H4"/>
    <mergeCell ref="A7:H7"/>
    <mergeCell ref="A12:G12"/>
    <mergeCell ref="A1:H1"/>
    <mergeCell ref="A17:G17"/>
    <mergeCell ref="A18:G18"/>
    <mergeCell ref="A21:G21"/>
    <mergeCell ref="A22:G22"/>
    <mergeCell ref="A24:G24"/>
    <mergeCell ref="A8:G8"/>
    <mergeCell ref="A9:G9"/>
    <mergeCell ref="A10:G10"/>
    <mergeCell ref="A11:G11"/>
    <mergeCell ref="A27:G27"/>
    <mergeCell ref="A37:D37"/>
    <mergeCell ref="E37:H37"/>
    <mergeCell ref="A13:G13"/>
    <mergeCell ref="A15:G15"/>
    <mergeCell ref="A20:G20"/>
    <mergeCell ref="A23:G23"/>
    <mergeCell ref="A25:G25"/>
    <mergeCell ref="A26:G26"/>
    <mergeCell ref="A16:G16"/>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IS112"/>
  <sheetViews>
    <sheetView showGridLines="0" zoomScale="130" zoomScaleNormal="130" zoomScalePageLayoutView="0" workbookViewId="0" topLeftCell="A1">
      <selection activeCell="B11" sqref="B11"/>
    </sheetView>
  </sheetViews>
  <sheetFormatPr defaultColWidth="11.57421875" defaultRowHeight="12.75"/>
  <cols>
    <col min="1" max="1" width="5.421875" style="235" customWidth="1"/>
    <col min="2" max="2" width="92.421875" style="236" customWidth="1"/>
    <col min="3" max="3" width="17.7109375" style="236" customWidth="1"/>
    <col min="4" max="4" width="14.140625" style="236" bestFit="1" customWidth="1"/>
    <col min="5" max="5" width="14.7109375" style="236" customWidth="1"/>
    <col min="6" max="6" width="12.8515625" style="237" bestFit="1" customWidth="1"/>
    <col min="7" max="16384" width="11.57421875" style="236" customWidth="1"/>
  </cols>
  <sheetData>
    <row r="1" spans="1:4" ht="12.75">
      <c r="A1" s="355"/>
      <c r="B1" s="800" t="s">
        <v>513</v>
      </c>
      <c r="C1" s="800"/>
      <c r="D1" s="801"/>
    </row>
    <row r="2" spans="1:6" ht="12.75">
      <c r="A2" s="356"/>
      <c r="B2" s="806" t="s">
        <v>305</v>
      </c>
      <c r="C2" s="806"/>
      <c r="D2" s="807"/>
      <c r="E2" s="238"/>
      <c r="F2" s="239"/>
    </row>
    <row r="3" spans="1:4" ht="12.75">
      <c r="A3" s="356"/>
      <c r="B3" s="808" t="s">
        <v>514</v>
      </c>
      <c r="C3" s="808"/>
      <c r="D3" s="809"/>
    </row>
    <row r="4" spans="1:4" ht="12.75">
      <c r="A4" s="356"/>
      <c r="B4" s="802" t="s">
        <v>354</v>
      </c>
      <c r="C4" s="802"/>
      <c r="D4" s="803"/>
    </row>
    <row r="5" spans="1:4" ht="13.5" thickBot="1">
      <c r="A5" s="366"/>
      <c r="B5" s="804"/>
      <c r="C5" s="804"/>
      <c r="D5" s="805"/>
    </row>
    <row r="6" spans="1:4" ht="13.5" thickBot="1">
      <c r="A6" s="368"/>
      <c r="B6" s="461" t="s">
        <v>49</v>
      </c>
      <c r="C6" s="368" t="s">
        <v>51</v>
      </c>
      <c r="D6" s="368" t="s">
        <v>392</v>
      </c>
    </row>
    <row r="7" spans="1:4" ht="12.75">
      <c r="A7" s="356">
        <v>1</v>
      </c>
      <c r="B7" s="462" t="s">
        <v>306</v>
      </c>
      <c r="C7" s="786"/>
      <c r="D7" s="787"/>
    </row>
    <row r="8" spans="1:4" ht="12.75">
      <c r="A8" s="356" t="s">
        <v>307</v>
      </c>
      <c r="B8" s="463" t="s">
        <v>573</v>
      </c>
      <c r="C8" s="479">
        <v>25801258</v>
      </c>
      <c r="D8" s="357">
        <v>1</v>
      </c>
    </row>
    <row r="9" spans="1:5" ht="12.75">
      <c r="A9" s="356"/>
      <c r="B9" s="463" t="s">
        <v>574</v>
      </c>
      <c r="C9" s="479">
        <v>2358987</v>
      </c>
      <c r="D9" s="357">
        <v>1</v>
      </c>
      <c r="E9" s="240"/>
    </row>
    <row r="10" spans="1:5" ht="12.75">
      <c r="A10" s="356"/>
      <c r="B10" s="464" t="s">
        <v>443</v>
      </c>
      <c r="C10" s="479">
        <f>2984*3800</f>
        <v>11339200</v>
      </c>
      <c r="D10" s="357">
        <v>1</v>
      </c>
      <c r="E10" s="241"/>
    </row>
    <row r="11" spans="1:5" ht="12.75">
      <c r="A11" s="356"/>
      <c r="B11" s="463" t="s">
        <v>575</v>
      </c>
      <c r="C11" s="479">
        <v>25369874</v>
      </c>
      <c r="D11" s="357">
        <v>1</v>
      </c>
      <c r="E11" s="240"/>
    </row>
    <row r="12" spans="1:5" ht="12.75">
      <c r="A12" s="356"/>
      <c r="B12" s="463" t="s">
        <v>576</v>
      </c>
      <c r="C12" s="479">
        <v>23800000</v>
      </c>
      <c r="D12" s="357">
        <v>1</v>
      </c>
      <c r="E12" s="240"/>
    </row>
    <row r="13" spans="1:5" ht="12.75">
      <c r="A13" s="356"/>
      <c r="B13" s="463" t="s">
        <v>577</v>
      </c>
      <c r="C13" s="479">
        <v>170000000</v>
      </c>
      <c r="D13" s="357">
        <v>1</v>
      </c>
      <c r="E13" s="240"/>
    </row>
    <row r="14" spans="1:253" ht="12.75">
      <c r="A14" s="356"/>
      <c r="B14" s="465"/>
      <c r="C14" s="252"/>
      <c r="D14" s="358"/>
      <c r="E14" s="254"/>
      <c r="F14" s="255"/>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6"/>
      <c r="CQ14" s="256"/>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6"/>
      <c r="DR14" s="256"/>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6"/>
      <c r="ES14" s="256"/>
      <c r="ET14" s="256"/>
      <c r="EU14" s="256"/>
      <c r="EV14" s="256"/>
      <c r="EW14" s="256"/>
      <c r="EX14" s="256"/>
      <c r="EY14" s="256"/>
      <c r="EZ14" s="256"/>
      <c r="FA14" s="256"/>
      <c r="FB14" s="256"/>
      <c r="FC14" s="256"/>
      <c r="FD14" s="256"/>
      <c r="FE14" s="256"/>
      <c r="FF14" s="256"/>
      <c r="FG14" s="256"/>
      <c r="FH14" s="256"/>
      <c r="FI14" s="256"/>
      <c r="FJ14" s="256"/>
      <c r="FK14" s="256"/>
      <c r="FL14" s="256"/>
      <c r="FM14" s="256"/>
      <c r="FN14" s="256"/>
      <c r="FO14" s="256"/>
      <c r="FP14" s="256"/>
      <c r="FQ14" s="256"/>
      <c r="FR14" s="256"/>
      <c r="FS14" s="256"/>
      <c r="FT14" s="256"/>
      <c r="FU14" s="256"/>
      <c r="FV14" s="256"/>
      <c r="FW14" s="256"/>
      <c r="FX14" s="256"/>
      <c r="FY14" s="256"/>
      <c r="FZ14" s="256"/>
      <c r="GA14" s="256"/>
      <c r="GB14" s="256"/>
      <c r="GC14" s="256"/>
      <c r="GD14" s="256"/>
      <c r="GE14" s="256"/>
      <c r="GF14" s="256"/>
      <c r="GG14" s="256"/>
      <c r="GH14" s="256"/>
      <c r="GI14" s="256"/>
      <c r="GJ14" s="256"/>
      <c r="GK14" s="256"/>
      <c r="GL14" s="256"/>
      <c r="GM14" s="256"/>
      <c r="GN14" s="256"/>
      <c r="GO14" s="256"/>
      <c r="GP14" s="256"/>
      <c r="GQ14" s="256"/>
      <c r="GR14" s="256"/>
      <c r="GS14" s="256"/>
      <c r="GT14" s="256"/>
      <c r="GU14" s="256"/>
      <c r="GV14" s="256"/>
      <c r="GW14" s="256"/>
      <c r="GX14" s="256"/>
      <c r="GY14" s="256"/>
      <c r="GZ14" s="256"/>
      <c r="HA14" s="256"/>
      <c r="HB14" s="256"/>
      <c r="HC14" s="256"/>
      <c r="HD14" s="256"/>
      <c r="HE14" s="256"/>
      <c r="HF14" s="256"/>
      <c r="HG14" s="256"/>
      <c r="HH14" s="256"/>
      <c r="HI14" s="256"/>
      <c r="HJ14" s="256"/>
      <c r="HK14" s="256"/>
      <c r="HL14" s="256"/>
      <c r="HM14" s="256"/>
      <c r="HN14" s="256"/>
      <c r="HO14" s="256"/>
      <c r="HP14" s="256"/>
      <c r="HQ14" s="256"/>
      <c r="HR14" s="256"/>
      <c r="HS14" s="256"/>
      <c r="HT14" s="256"/>
      <c r="HU14" s="256"/>
      <c r="HV14" s="256"/>
      <c r="HW14" s="256"/>
      <c r="HX14" s="256"/>
      <c r="HY14" s="256"/>
      <c r="HZ14" s="256"/>
      <c r="IA14" s="256"/>
      <c r="IB14" s="256"/>
      <c r="IC14" s="256"/>
      <c r="ID14" s="256"/>
      <c r="IE14" s="256"/>
      <c r="IF14" s="256"/>
      <c r="IG14" s="256"/>
      <c r="IH14" s="256"/>
      <c r="II14" s="256"/>
      <c r="IJ14" s="256"/>
      <c r="IK14" s="256"/>
      <c r="IL14" s="256"/>
      <c r="IM14" s="256"/>
      <c r="IN14" s="256"/>
      <c r="IO14" s="256"/>
      <c r="IP14" s="256"/>
      <c r="IQ14" s="256"/>
      <c r="IR14" s="256"/>
      <c r="IS14" s="256"/>
    </row>
    <row r="15" spans="1:5" ht="12.75">
      <c r="A15" s="356">
        <v>2</v>
      </c>
      <c r="B15" s="463" t="s">
        <v>583</v>
      </c>
      <c r="C15" s="436">
        <v>3680000</v>
      </c>
      <c r="D15" s="357">
        <v>3</v>
      </c>
      <c r="E15" s="240"/>
    </row>
    <row r="16" spans="1:253" ht="12.75">
      <c r="A16" s="356"/>
      <c r="B16" s="465"/>
      <c r="C16" s="252"/>
      <c r="D16" s="358"/>
      <c r="E16" s="254"/>
      <c r="F16" s="255"/>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c r="CG16" s="256"/>
      <c r="CH16" s="256"/>
      <c r="CI16" s="256"/>
      <c r="CJ16" s="256"/>
      <c r="CK16" s="256"/>
      <c r="CL16" s="256"/>
      <c r="CM16" s="256"/>
      <c r="CN16" s="256"/>
      <c r="CO16" s="256"/>
      <c r="CP16" s="256"/>
      <c r="CQ16" s="256"/>
      <c r="CR16" s="256"/>
      <c r="CS16" s="256"/>
      <c r="CT16" s="256"/>
      <c r="CU16" s="256"/>
      <c r="CV16" s="256"/>
      <c r="CW16" s="256"/>
      <c r="CX16" s="256"/>
      <c r="CY16" s="256"/>
      <c r="CZ16" s="256"/>
      <c r="DA16" s="256"/>
      <c r="DB16" s="256"/>
      <c r="DC16" s="256"/>
      <c r="DD16" s="256"/>
      <c r="DE16" s="256"/>
      <c r="DF16" s="256"/>
      <c r="DG16" s="256"/>
      <c r="DH16" s="256"/>
      <c r="DI16" s="256"/>
      <c r="DJ16" s="256"/>
      <c r="DK16" s="256"/>
      <c r="DL16" s="256"/>
      <c r="DM16" s="256"/>
      <c r="DN16" s="256"/>
      <c r="DO16" s="256"/>
      <c r="DP16" s="256"/>
      <c r="DQ16" s="256"/>
      <c r="DR16" s="256"/>
      <c r="DS16" s="256"/>
      <c r="DT16" s="256"/>
      <c r="DU16" s="256"/>
      <c r="DV16" s="256"/>
      <c r="DW16" s="256"/>
      <c r="DX16" s="256"/>
      <c r="DY16" s="256"/>
      <c r="DZ16" s="256"/>
      <c r="EA16" s="256"/>
      <c r="EB16" s="256"/>
      <c r="EC16" s="256"/>
      <c r="ED16" s="256"/>
      <c r="EE16" s="256"/>
      <c r="EF16" s="256"/>
      <c r="EG16" s="256"/>
      <c r="EH16" s="256"/>
      <c r="EI16" s="256"/>
      <c r="EJ16" s="256"/>
      <c r="EK16" s="256"/>
      <c r="EL16" s="256"/>
      <c r="EM16" s="256"/>
      <c r="EN16" s="256"/>
      <c r="EO16" s="256"/>
      <c r="EP16" s="256"/>
      <c r="EQ16" s="256"/>
      <c r="ER16" s="256"/>
      <c r="ES16" s="256"/>
      <c r="ET16" s="256"/>
      <c r="EU16" s="256"/>
      <c r="EV16" s="256"/>
      <c r="EW16" s="256"/>
      <c r="EX16" s="256"/>
      <c r="EY16" s="256"/>
      <c r="EZ16" s="256"/>
      <c r="FA16" s="256"/>
      <c r="FB16" s="256"/>
      <c r="FC16" s="256"/>
      <c r="FD16" s="256"/>
      <c r="FE16" s="256"/>
      <c r="FF16" s="256"/>
      <c r="FG16" s="256"/>
      <c r="FH16" s="256"/>
      <c r="FI16" s="256"/>
      <c r="FJ16" s="256"/>
      <c r="FK16" s="256"/>
      <c r="FL16" s="256"/>
      <c r="FM16" s="256"/>
      <c r="FN16" s="256"/>
      <c r="FO16" s="256"/>
      <c r="FP16" s="256"/>
      <c r="FQ16" s="256"/>
      <c r="FR16" s="256"/>
      <c r="FS16" s="256"/>
      <c r="FT16" s="256"/>
      <c r="FU16" s="256"/>
      <c r="FV16" s="256"/>
      <c r="FW16" s="256"/>
      <c r="FX16" s="256"/>
      <c r="FY16" s="256"/>
      <c r="FZ16" s="256"/>
      <c r="GA16" s="256"/>
      <c r="GB16" s="256"/>
      <c r="GC16" s="256"/>
      <c r="GD16" s="256"/>
      <c r="GE16" s="256"/>
      <c r="GF16" s="256"/>
      <c r="GG16" s="256"/>
      <c r="GH16" s="256"/>
      <c r="GI16" s="256"/>
      <c r="GJ16" s="256"/>
      <c r="GK16" s="256"/>
      <c r="GL16" s="256"/>
      <c r="GM16" s="256"/>
      <c r="GN16" s="256"/>
      <c r="GO16" s="256"/>
      <c r="GP16" s="256"/>
      <c r="GQ16" s="256"/>
      <c r="GR16" s="256"/>
      <c r="GS16" s="256"/>
      <c r="GT16" s="256"/>
      <c r="GU16" s="256"/>
      <c r="GV16" s="256"/>
      <c r="GW16" s="256"/>
      <c r="GX16" s="256"/>
      <c r="GY16" s="256"/>
      <c r="GZ16" s="256"/>
      <c r="HA16" s="256"/>
      <c r="HB16" s="256"/>
      <c r="HC16" s="256"/>
      <c r="HD16" s="256"/>
      <c r="HE16" s="256"/>
      <c r="HF16" s="256"/>
      <c r="HG16" s="256"/>
      <c r="HH16" s="256"/>
      <c r="HI16" s="256"/>
      <c r="HJ16" s="256"/>
      <c r="HK16" s="256"/>
      <c r="HL16" s="256"/>
      <c r="HM16" s="256"/>
      <c r="HN16" s="256"/>
      <c r="HO16" s="256"/>
      <c r="HP16" s="256"/>
      <c r="HQ16" s="256"/>
      <c r="HR16" s="256"/>
      <c r="HS16" s="256"/>
      <c r="HT16" s="256"/>
      <c r="HU16" s="256"/>
      <c r="HV16" s="256"/>
      <c r="HW16" s="256"/>
      <c r="HX16" s="256"/>
      <c r="HY16" s="256"/>
      <c r="HZ16" s="256"/>
      <c r="IA16" s="256"/>
      <c r="IB16" s="256"/>
      <c r="IC16" s="256"/>
      <c r="ID16" s="256"/>
      <c r="IE16" s="256"/>
      <c r="IF16" s="256"/>
      <c r="IG16" s="256"/>
      <c r="IH16" s="256"/>
      <c r="II16" s="256"/>
      <c r="IJ16" s="256"/>
      <c r="IK16" s="256"/>
      <c r="IL16" s="256"/>
      <c r="IM16" s="256"/>
      <c r="IN16" s="256"/>
      <c r="IO16" s="256"/>
      <c r="IP16" s="256"/>
      <c r="IQ16" s="256"/>
      <c r="IR16" s="256"/>
      <c r="IS16" s="256"/>
    </row>
    <row r="17" spans="1:5" ht="12.75">
      <c r="A17" s="356">
        <v>3</v>
      </c>
      <c r="B17" s="466" t="s">
        <v>402</v>
      </c>
      <c r="C17" s="791"/>
      <c r="D17" s="792"/>
      <c r="E17" s="240"/>
    </row>
    <row r="18" spans="1:4" ht="12.75">
      <c r="A18" s="356"/>
      <c r="B18" s="463" t="s">
        <v>578</v>
      </c>
      <c r="C18" s="436">
        <v>28000000</v>
      </c>
      <c r="D18" s="357">
        <v>2</v>
      </c>
    </row>
    <row r="19" spans="1:4" ht="12.75">
      <c r="A19" s="356"/>
      <c r="B19" s="463" t="s">
        <v>584</v>
      </c>
      <c r="C19" s="436">
        <v>118560000</v>
      </c>
      <c r="D19" s="357">
        <v>2</v>
      </c>
    </row>
    <row r="20" spans="1:4" ht="12.75">
      <c r="A20" s="356"/>
      <c r="B20" s="463" t="s">
        <v>580</v>
      </c>
      <c r="C20" s="436">
        <v>312210000</v>
      </c>
      <c r="D20" s="357">
        <v>2</v>
      </c>
    </row>
    <row r="21" spans="1:253" ht="12.75">
      <c r="A21" s="356"/>
      <c r="B21" s="465"/>
      <c r="C21" s="252"/>
      <c r="D21" s="358"/>
      <c r="E21" s="256"/>
      <c r="F21" s="255"/>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6"/>
      <c r="CR21" s="256"/>
      <c r="CS21" s="256"/>
      <c r="CT21" s="256"/>
      <c r="CU21" s="256"/>
      <c r="CV21" s="256"/>
      <c r="CW21" s="256"/>
      <c r="CX21" s="256"/>
      <c r="CY21" s="256"/>
      <c r="CZ21" s="256"/>
      <c r="DA21" s="256"/>
      <c r="DB21" s="256"/>
      <c r="DC21" s="256"/>
      <c r="DD21" s="256"/>
      <c r="DE21" s="256"/>
      <c r="DF21" s="256"/>
      <c r="DG21" s="256"/>
      <c r="DH21" s="256"/>
      <c r="DI21" s="256"/>
      <c r="DJ21" s="256"/>
      <c r="DK21" s="256"/>
      <c r="DL21" s="256"/>
      <c r="DM21" s="256"/>
      <c r="DN21" s="256"/>
      <c r="DO21" s="256"/>
      <c r="DP21" s="256"/>
      <c r="DQ21" s="256"/>
      <c r="DR21" s="256"/>
      <c r="DS21" s="256"/>
      <c r="DT21" s="256"/>
      <c r="DU21" s="256"/>
      <c r="DV21" s="256"/>
      <c r="DW21" s="256"/>
      <c r="DX21" s="256"/>
      <c r="DY21" s="256"/>
      <c r="DZ21" s="256"/>
      <c r="EA21" s="256"/>
      <c r="EB21" s="256"/>
      <c r="EC21" s="256"/>
      <c r="ED21" s="256"/>
      <c r="EE21" s="256"/>
      <c r="EF21" s="256"/>
      <c r="EG21" s="256"/>
      <c r="EH21" s="256"/>
      <c r="EI21" s="256"/>
      <c r="EJ21" s="256"/>
      <c r="EK21" s="256"/>
      <c r="EL21" s="256"/>
      <c r="EM21" s="256"/>
      <c r="EN21" s="256"/>
      <c r="EO21" s="256"/>
      <c r="EP21" s="256"/>
      <c r="EQ21" s="256"/>
      <c r="ER21" s="256"/>
      <c r="ES21" s="256"/>
      <c r="ET21" s="256"/>
      <c r="EU21" s="256"/>
      <c r="EV21" s="256"/>
      <c r="EW21" s="256"/>
      <c r="EX21" s="256"/>
      <c r="EY21" s="256"/>
      <c r="EZ21" s="256"/>
      <c r="FA21" s="256"/>
      <c r="FB21" s="256"/>
      <c r="FC21" s="256"/>
      <c r="FD21" s="256"/>
      <c r="FE21" s="256"/>
      <c r="FF21" s="256"/>
      <c r="FG21" s="256"/>
      <c r="FH21" s="256"/>
      <c r="FI21" s="256"/>
      <c r="FJ21" s="256"/>
      <c r="FK21" s="256"/>
      <c r="FL21" s="256"/>
      <c r="FM21" s="256"/>
      <c r="FN21" s="256"/>
      <c r="FO21" s="256"/>
      <c r="FP21" s="256"/>
      <c r="FQ21" s="256"/>
      <c r="FR21" s="256"/>
      <c r="FS21" s="256"/>
      <c r="FT21" s="256"/>
      <c r="FU21" s="256"/>
      <c r="FV21" s="256"/>
      <c r="FW21" s="256"/>
      <c r="FX21" s="256"/>
      <c r="FY21" s="256"/>
      <c r="FZ21" s="256"/>
      <c r="GA21" s="256"/>
      <c r="GB21" s="256"/>
      <c r="GC21" s="256"/>
      <c r="GD21" s="256"/>
      <c r="GE21" s="256"/>
      <c r="GF21" s="256"/>
      <c r="GG21" s="256"/>
      <c r="GH21" s="256"/>
      <c r="GI21" s="256"/>
      <c r="GJ21" s="256"/>
      <c r="GK21" s="256"/>
      <c r="GL21" s="256"/>
      <c r="GM21" s="256"/>
      <c r="GN21" s="256"/>
      <c r="GO21" s="256"/>
      <c r="GP21" s="256"/>
      <c r="GQ21" s="256"/>
      <c r="GR21" s="256"/>
      <c r="GS21" s="256"/>
      <c r="GT21" s="256"/>
      <c r="GU21" s="256"/>
      <c r="GV21" s="256"/>
      <c r="GW21" s="256"/>
      <c r="GX21" s="256"/>
      <c r="GY21" s="256"/>
      <c r="GZ21" s="256"/>
      <c r="HA21" s="256"/>
      <c r="HB21" s="256"/>
      <c r="HC21" s="256"/>
      <c r="HD21" s="256"/>
      <c r="HE21" s="256"/>
      <c r="HF21" s="256"/>
      <c r="HG21" s="256"/>
      <c r="HH21" s="256"/>
      <c r="HI21" s="256"/>
      <c r="HJ21" s="256"/>
      <c r="HK21" s="256"/>
      <c r="HL21" s="256"/>
      <c r="HM21" s="256"/>
      <c r="HN21" s="256"/>
      <c r="HO21" s="256"/>
      <c r="HP21" s="256"/>
      <c r="HQ21" s="256"/>
      <c r="HR21" s="256"/>
      <c r="HS21" s="256"/>
      <c r="HT21" s="256"/>
      <c r="HU21" s="256"/>
      <c r="HV21" s="256"/>
      <c r="HW21" s="256"/>
      <c r="HX21" s="256"/>
      <c r="HY21" s="256"/>
      <c r="HZ21" s="256"/>
      <c r="IA21" s="256"/>
      <c r="IB21" s="256"/>
      <c r="IC21" s="256"/>
      <c r="ID21" s="256"/>
      <c r="IE21" s="256"/>
      <c r="IF21" s="256"/>
      <c r="IG21" s="256"/>
      <c r="IH21" s="256"/>
      <c r="II21" s="256"/>
      <c r="IJ21" s="256"/>
      <c r="IK21" s="256"/>
      <c r="IL21" s="256"/>
      <c r="IM21" s="256"/>
      <c r="IN21" s="256"/>
      <c r="IO21" s="256"/>
      <c r="IP21" s="256"/>
      <c r="IQ21" s="256"/>
      <c r="IR21" s="256"/>
      <c r="IS21" s="256"/>
    </row>
    <row r="22" spans="1:4" ht="12.75">
      <c r="A22" s="356">
        <v>4</v>
      </c>
      <c r="B22" s="466" t="s">
        <v>403</v>
      </c>
      <c r="C22" s="791"/>
      <c r="D22" s="792"/>
    </row>
    <row r="23" spans="1:4" ht="12.75">
      <c r="A23" s="356"/>
      <c r="B23" s="464" t="s">
        <v>581</v>
      </c>
      <c r="C23" s="436">
        <v>480000000</v>
      </c>
      <c r="D23" s="357">
        <v>4</v>
      </c>
    </row>
    <row r="24" spans="1:4" ht="12.75">
      <c r="A24" s="356"/>
      <c r="B24" s="463" t="s">
        <v>444</v>
      </c>
      <c r="C24" s="436">
        <v>40000000</v>
      </c>
      <c r="D24" s="357">
        <v>4</v>
      </c>
    </row>
    <row r="25" spans="1:4" ht="12.75">
      <c r="A25" s="356"/>
      <c r="B25" s="463" t="s">
        <v>445</v>
      </c>
      <c r="C25" s="436">
        <v>350000000</v>
      </c>
      <c r="D25" s="357">
        <v>4</v>
      </c>
    </row>
    <row r="26" spans="1:4" ht="12.75">
      <c r="A26" s="356"/>
      <c r="B26" s="463" t="s">
        <v>446</v>
      </c>
      <c r="C26" s="436">
        <v>64800000</v>
      </c>
      <c r="D26" s="357">
        <v>4</v>
      </c>
    </row>
    <row r="27" spans="1:4" ht="12.75">
      <c r="A27" s="356"/>
      <c r="B27" s="463" t="s">
        <v>447</v>
      </c>
      <c r="C27" s="436">
        <v>320000000</v>
      </c>
      <c r="D27" s="357">
        <v>4</v>
      </c>
    </row>
    <row r="28" spans="1:253" ht="12.75">
      <c r="A28" s="356"/>
      <c r="B28" s="257"/>
      <c r="C28" s="252"/>
      <c r="D28" s="358"/>
      <c r="E28" s="256"/>
      <c r="F28" s="255"/>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256"/>
      <c r="BL28" s="256"/>
      <c r="BM28" s="256"/>
      <c r="BN28" s="256"/>
      <c r="BO28" s="256"/>
      <c r="BP28" s="256"/>
      <c r="BQ28" s="256"/>
      <c r="BR28" s="256"/>
      <c r="BS28" s="256"/>
      <c r="BT28" s="256"/>
      <c r="BU28" s="256"/>
      <c r="BV28" s="256"/>
      <c r="BW28" s="256"/>
      <c r="BX28" s="256"/>
      <c r="BY28" s="256"/>
      <c r="BZ28" s="256"/>
      <c r="CA28" s="256"/>
      <c r="CB28" s="256"/>
      <c r="CC28" s="256"/>
      <c r="CD28" s="256"/>
      <c r="CE28" s="256"/>
      <c r="CF28" s="256"/>
      <c r="CG28" s="256"/>
      <c r="CH28" s="256"/>
      <c r="CI28" s="256"/>
      <c r="CJ28" s="256"/>
      <c r="CK28" s="256"/>
      <c r="CL28" s="256"/>
      <c r="CM28" s="256"/>
      <c r="CN28" s="256"/>
      <c r="CO28" s="256"/>
      <c r="CP28" s="256"/>
      <c r="CQ28" s="256"/>
      <c r="CR28" s="256"/>
      <c r="CS28" s="256"/>
      <c r="CT28" s="256"/>
      <c r="CU28" s="256"/>
      <c r="CV28" s="256"/>
      <c r="CW28" s="256"/>
      <c r="CX28" s="256"/>
      <c r="CY28" s="256"/>
      <c r="CZ28" s="256"/>
      <c r="DA28" s="256"/>
      <c r="DB28" s="256"/>
      <c r="DC28" s="256"/>
      <c r="DD28" s="256"/>
      <c r="DE28" s="256"/>
      <c r="DF28" s="256"/>
      <c r="DG28" s="256"/>
      <c r="DH28" s="256"/>
      <c r="DI28" s="256"/>
      <c r="DJ28" s="256"/>
      <c r="DK28" s="256"/>
      <c r="DL28" s="256"/>
      <c r="DM28" s="256"/>
      <c r="DN28" s="256"/>
      <c r="DO28" s="256"/>
      <c r="DP28" s="256"/>
      <c r="DQ28" s="256"/>
      <c r="DR28" s="256"/>
      <c r="DS28" s="256"/>
      <c r="DT28" s="256"/>
      <c r="DU28" s="256"/>
      <c r="DV28" s="256"/>
      <c r="DW28" s="256"/>
      <c r="DX28" s="256"/>
      <c r="DY28" s="256"/>
      <c r="DZ28" s="256"/>
      <c r="EA28" s="256"/>
      <c r="EB28" s="256"/>
      <c r="EC28" s="256"/>
      <c r="ED28" s="256"/>
      <c r="EE28" s="256"/>
      <c r="EF28" s="256"/>
      <c r="EG28" s="256"/>
      <c r="EH28" s="256"/>
      <c r="EI28" s="256"/>
      <c r="EJ28" s="256"/>
      <c r="EK28" s="256"/>
      <c r="EL28" s="256"/>
      <c r="EM28" s="256"/>
      <c r="EN28" s="256"/>
      <c r="EO28" s="256"/>
      <c r="EP28" s="256"/>
      <c r="EQ28" s="256"/>
      <c r="ER28" s="256"/>
      <c r="ES28" s="256"/>
      <c r="ET28" s="256"/>
      <c r="EU28" s="256"/>
      <c r="EV28" s="256"/>
      <c r="EW28" s="256"/>
      <c r="EX28" s="256"/>
      <c r="EY28" s="256"/>
      <c r="EZ28" s="256"/>
      <c r="FA28" s="256"/>
      <c r="FB28" s="256"/>
      <c r="FC28" s="256"/>
      <c r="FD28" s="256"/>
      <c r="FE28" s="256"/>
      <c r="FF28" s="256"/>
      <c r="FG28" s="256"/>
      <c r="FH28" s="256"/>
      <c r="FI28" s="256"/>
      <c r="FJ28" s="256"/>
      <c r="FK28" s="256"/>
      <c r="FL28" s="256"/>
      <c r="FM28" s="256"/>
      <c r="FN28" s="256"/>
      <c r="FO28" s="256"/>
      <c r="FP28" s="256"/>
      <c r="FQ28" s="256"/>
      <c r="FR28" s="256"/>
      <c r="FS28" s="256"/>
      <c r="FT28" s="256"/>
      <c r="FU28" s="256"/>
      <c r="FV28" s="256"/>
      <c r="FW28" s="256"/>
      <c r="FX28" s="256"/>
      <c r="FY28" s="256"/>
      <c r="FZ28" s="256"/>
      <c r="GA28" s="256"/>
      <c r="GB28" s="256"/>
      <c r="GC28" s="256"/>
      <c r="GD28" s="256"/>
      <c r="GE28" s="256"/>
      <c r="GF28" s="256"/>
      <c r="GG28" s="256"/>
      <c r="GH28" s="256"/>
      <c r="GI28" s="256"/>
      <c r="GJ28" s="256"/>
      <c r="GK28" s="256"/>
      <c r="GL28" s="256"/>
      <c r="GM28" s="256"/>
      <c r="GN28" s="256"/>
      <c r="GO28" s="256"/>
      <c r="GP28" s="256"/>
      <c r="GQ28" s="256"/>
      <c r="GR28" s="256"/>
      <c r="GS28" s="256"/>
      <c r="GT28" s="256"/>
      <c r="GU28" s="256"/>
      <c r="GV28" s="256"/>
      <c r="GW28" s="256"/>
      <c r="GX28" s="256"/>
      <c r="GY28" s="256"/>
      <c r="GZ28" s="256"/>
      <c r="HA28" s="256"/>
      <c r="HB28" s="256"/>
      <c r="HC28" s="256"/>
      <c r="HD28" s="256"/>
      <c r="HE28" s="256"/>
      <c r="HF28" s="256"/>
      <c r="HG28" s="256"/>
      <c r="HH28" s="256"/>
      <c r="HI28" s="256"/>
      <c r="HJ28" s="256"/>
      <c r="HK28" s="256"/>
      <c r="HL28" s="256"/>
      <c r="HM28" s="256"/>
      <c r="HN28" s="256"/>
      <c r="HO28" s="256"/>
      <c r="HP28" s="256"/>
      <c r="HQ28" s="256"/>
      <c r="HR28" s="256"/>
      <c r="HS28" s="256"/>
      <c r="HT28" s="256"/>
      <c r="HU28" s="256"/>
      <c r="HV28" s="256"/>
      <c r="HW28" s="256"/>
      <c r="HX28" s="256"/>
      <c r="HY28" s="256"/>
      <c r="HZ28" s="256"/>
      <c r="IA28" s="256"/>
      <c r="IB28" s="256"/>
      <c r="IC28" s="256"/>
      <c r="ID28" s="256"/>
      <c r="IE28" s="256"/>
      <c r="IF28" s="256"/>
      <c r="IG28" s="256"/>
      <c r="IH28" s="256"/>
      <c r="II28" s="256"/>
      <c r="IJ28" s="256"/>
      <c r="IK28" s="256"/>
      <c r="IL28" s="256"/>
      <c r="IM28" s="256"/>
      <c r="IN28" s="256"/>
      <c r="IO28" s="256"/>
      <c r="IP28" s="256"/>
      <c r="IQ28" s="256"/>
      <c r="IR28" s="256"/>
      <c r="IS28" s="256"/>
    </row>
    <row r="29" spans="1:4" ht="12.75">
      <c r="A29" s="356">
        <v>5</v>
      </c>
      <c r="B29" s="466" t="s">
        <v>6</v>
      </c>
      <c r="C29" s="798"/>
      <c r="D29" s="799"/>
    </row>
    <row r="30" spans="1:4" ht="12.75">
      <c r="A30" s="356"/>
      <c r="B30" s="463" t="s">
        <v>582</v>
      </c>
      <c r="C30" s="436">
        <v>209959357</v>
      </c>
      <c r="D30" s="357">
        <v>5</v>
      </c>
    </row>
    <row r="31" spans="1:4" ht="12.75">
      <c r="A31" s="356"/>
      <c r="B31" s="463" t="s">
        <v>308</v>
      </c>
      <c r="C31" s="436">
        <v>8698745</v>
      </c>
      <c r="D31" s="357">
        <v>5</v>
      </c>
    </row>
    <row r="32" spans="1:4" ht="12.75">
      <c r="A32" s="356"/>
      <c r="B32" s="463" t="s">
        <v>448</v>
      </c>
      <c r="C32" s="436">
        <v>6888000</v>
      </c>
      <c r="D32" s="357">
        <v>5</v>
      </c>
    </row>
    <row r="33" spans="1:4" ht="12.75">
      <c r="A33" s="356"/>
      <c r="B33" s="463" t="s">
        <v>449</v>
      </c>
      <c r="C33" s="436">
        <v>9458987</v>
      </c>
      <c r="D33" s="357">
        <v>5</v>
      </c>
    </row>
    <row r="34" spans="1:4" ht="12.75">
      <c r="A34" s="356"/>
      <c r="B34" s="463" t="s">
        <v>309</v>
      </c>
      <c r="C34" s="436">
        <v>13589000</v>
      </c>
      <c r="D34" s="357">
        <v>5</v>
      </c>
    </row>
    <row r="35" spans="1:253" ht="12.75">
      <c r="A35" s="356"/>
      <c r="B35" s="257"/>
      <c r="C35" s="258"/>
      <c r="D35" s="358"/>
      <c r="E35" s="256"/>
      <c r="F35" s="255"/>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56"/>
      <c r="CB35" s="256"/>
      <c r="CC35" s="256"/>
      <c r="CD35" s="256"/>
      <c r="CE35" s="256"/>
      <c r="CF35" s="256"/>
      <c r="CG35" s="256"/>
      <c r="CH35" s="256"/>
      <c r="CI35" s="256"/>
      <c r="CJ35" s="256"/>
      <c r="CK35" s="256"/>
      <c r="CL35" s="256"/>
      <c r="CM35" s="256"/>
      <c r="CN35" s="256"/>
      <c r="CO35" s="256"/>
      <c r="CP35" s="256"/>
      <c r="CQ35" s="256"/>
      <c r="CR35" s="256"/>
      <c r="CS35" s="256"/>
      <c r="CT35" s="256"/>
      <c r="CU35" s="256"/>
      <c r="CV35" s="256"/>
      <c r="CW35" s="256"/>
      <c r="CX35" s="256"/>
      <c r="CY35" s="256"/>
      <c r="CZ35" s="256"/>
      <c r="DA35" s="256"/>
      <c r="DB35" s="256"/>
      <c r="DC35" s="256"/>
      <c r="DD35" s="256"/>
      <c r="DE35" s="256"/>
      <c r="DF35" s="256"/>
      <c r="DG35" s="256"/>
      <c r="DH35" s="256"/>
      <c r="DI35" s="256"/>
      <c r="DJ35" s="256"/>
      <c r="DK35" s="256"/>
      <c r="DL35" s="256"/>
      <c r="DM35" s="256"/>
      <c r="DN35" s="256"/>
      <c r="DO35" s="256"/>
      <c r="DP35" s="256"/>
      <c r="DQ35" s="256"/>
      <c r="DR35" s="256"/>
      <c r="DS35" s="256"/>
      <c r="DT35" s="256"/>
      <c r="DU35" s="256"/>
      <c r="DV35" s="256"/>
      <c r="DW35" s="256"/>
      <c r="DX35" s="256"/>
      <c r="DY35" s="256"/>
      <c r="DZ35" s="256"/>
      <c r="EA35" s="256"/>
      <c r="EB35" s="256"/>
      <c r="EC35" s="256"/>
      <c r="ED35" s="256"/>
      <c r="EE35" s="256"/>
      <c r="EF35" s="256"/>
      <c r="EG35" s="256"/>
      <c r="EH35" s="256"/>
      <c r="EI35" s="256"/>
      <c r="EJ35" s="256"/>
      <c r="EK35" s="256"/>
      <c r="EL35" s="256"/>
      <c r="EM35" s="256"/>
      <c r="EN35" s="256"/>
      <c r="EO35" s="256"/>
      <c r="EP35" s="256"/>
      <c r="EQ35" s="256"/>
      <c r="ER35" s="256"/>
      <c r="ES35" s="256"/>
      <c r="ET35" s="256"/>
      <c r="EU35" s="256"/>
      <c r="EV35" s="256"/>
      <c r="EW35" s="256"/>
      <c r="EX35" s="256"/>
      <c r="EY35" s="256"/>
      <c r="EZ35" s="256"/>
      <c r="FA35" s="256"/>
      <c r="FB35" s="256"/>
      <c r="FC35" s="256"/>
      <c r="FD35" s="256"/>
      <c r="FE35" s="256"/>
      <c r="FF35" s="256"/>
      <c r="FG35" s="256"/>
      <c r="FH35" s="256"/>
      <c r="FI35" s="256"/>
      <c r="FJ35" s="256"/>
      <c r="FK35" s="256"/>
      <c r="FL35" s="256"/>
      <c r="FM35" s="256"/>
      <c r="FN35" s="256"/>
      <c r="FO35" s="256"/>
      <c r="FP35" s="256"/>
      <c r="FQ35" s="256"/>
      <c r="FR35" s="256"/>
      <c r="FS35" s="256"/>
      <c r="FT35" s="256"/>
      <c r="FU35" s="256"/>
      <c r="FV35" s="256"/>
      <c r="FW35" s="256"/>
      <c r="FX35" s="256"/>
      <c r="FY35" s="256"/>
      <c r="FZ35" s="256"/>
      <c r="GA35" s="256"/>
      <c r="GB35" s="256"/>
      <c r="GC35" s="256"/>
      <c r="GD35" s="256"/>
      <c r="GE35" s="256"/>
      <c r="GF35" s="256"/>
      <c r="GG35" s="256"/>
      <c r="GH35" s="256"/>
      <c r="GI35" s="256"/>
      <c r="GJ35" s="256"/>
      <c r="GK35" s="256"/>
      <c r="GL35" s="256"/>
      <c r="GM35" s="256"/>
      <c r="GN35" s="256"/>
      <c r="GO35" s="256"/>
      <c r="GP35" s="256"/>
      <c r="GQ35" s="256"/>
      <c r="GR35" s="256"/>
      <c r="GS35" s="256"/>
      <c r="GT35" s="256"/>
      <c r="GU35" s="256"/>
      <c r="GV35" s="256"/>
      <c r="GW35" s="256"/>
      <c r="GX35" s="256"/>
      <c r="GY35" s="256"/>
      <c r="GZ35" s="256"/>
      <c r="HA35" s="256"/>
      <c r="HB35" s="256"/>
      <c r="HC35" s="256"/>
      <c r="HD35" s="256"/>
      <c r="HE35" s="256"/>
      <c r="HF35" s="256"/>
      <c r="HG35" s="256"/>
      <c r="HH35" s="256"/>
      <c r="HI35" s="256"/>
      <c r="HJ35" s="256"/>
      <c r="HK35" s="256"/>
      <c r="HL35" s="256"/>
      <c r="HM35" s="256"/>
      <c r="HN35" s="256"/>
      <c r="HO35" s="256"/>
      <c r="HP35" s="256"/>
      <c r="HQ35" s="256"/>
      <c r="HR35" s="256"/>
      <c r="HS35" s="256"/>
      <c r="HT35" s="256"/>
      <c r="HU35" s="256"/>
      <c r="HV35" s="256"/>
      <c r="HW35" s="256"/>
      <c r="HX35" s="256"/>
      <c r="HY35" s="256"/>
      <c r="HZ35" s="256"/>
      <c r="IA35" s="256"/>
      <c r="IB35" s="256"/>
      <c r="IC35" s="256"/>
      <c r="ID35" s="256"/>
      <c r="IE35" s="256"/>
      <c r="IF35" s="256"/>
      <c r="IG35" s="256"/>
      <c r="IH35" s="256"/>
      <c r="II35" s="256"/>
      <c r="IJ35" s="256"/>
      <c r="IK35" s="256"/>
      <c r="IL35" s="256"/>
      <c r="IM35" s="256"/>
      <c r="IN35" s="256"/>
      <c r="IO35" s="256"/>
      <c r="IP35" s="256"/>
      <c r="IQ35" s="256"/>
      <c r="IR35" s="256"/>
      <c r="IS35" s="256"/>
    </row>
    <row r="36" spans="1:4" ht="12.75">
      <c r="A36" s="356">
        <v>6</v>
      </c>
      <c r="B36" s="466" t="s">
        <v>310</v>
      </c>
      <c r="C36" s="798"/>
      <c r="D36" s="799"/>
    </row>
    <row r="37" spans="1:253" ht="12.75">
      <c r="A37" s="356"/>
      <c r="B37" s="260"/>
      <c r="C37" s="261"/>
      <c r="D37" s="358"/>
      <c r="E37" s="256"/>
      <c r="F37" s="255"/>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6"/>
      <c r="BR37" s="256"/>
      <c r="BS37" s="256"/>
      <c r="BT37" s="256"/>
      <c r="BU37" s="256"/>
      <c r="BV37" s="256"/>
      <c r="BW37" s="256"/>
      <c r="BX37" s="256"/>
      <c r="BY37" s="256"/>
      <c r="BZ37" s="256"/>
      <c r="CA37" s="256"/>
      <c r="CB37" s="256"/>
      <c r="CC37" s="256"/>
      <c r="CD37" s="256"/>
      <c r="CE37" s="256"/>
      <c r="CF37" s="256"/>
      <c r="CG37" s="256"/>
      <c r="CH37" s="256"/>
      <c r="CI37" s="256"/>
      <c r="CJ37" s="256"/>
      <c r="CK37" s="256"/>
      <c r="CL37" s="256"/>
      <c r="CM37" s="256"/>
      <c r="CN37" s="256"/>
      <c r="CO37" s="256"/>
      <c r="CP37" s="256"/>
      <c r="CQ37" s="256"/>
      <c r="CR37" s="256"/>
      <c r="CS37" s="256"/>
      <c r="CT37" s="256"/>
      <c r="CU37" s="256"/>
      <c r="CV37" s="256"/>
      <c r="CW37" s="256"/>
      <c r="CX37" s="256"/>
      <c r="CY37" s="256"/>
      <c r="CZ37" s="256"/>
      <c r="DA37" s="256"/>
      <c r="DB37" s="256"/>
      <c r="DC37" s="256"/>
      <c r="DD37" s="256"/>
      <c r="DE37" s="256"/>
      <c r="DF37" s="256"/>
      <c r="DG37" s="256"/>
      <c r="DH37" s="256"/>
      <c r="DI37" s="256"/>
      <c r="DJ37" s="256"/>
      <c r="DK37" s="256"/>
      <c r="DL37" s="256"/>
      <c r="DM37" s="256"/>
      <c r="DN37" s="256"/>
      <c r="DO37" s="256"/>
      <c r="DP37" s="256"/>
      <c r="DQ37" s="256"/>
      <c r="DR37" s="256"/>
      <c r="DS37" s="256"/>
      <c r="DT37" s="256"/>
      <c r="DU37" s="256"/>
      <c r="DV37" s="256"/>
      <c r="DW37" s="256"/>
      <c r="DX37" s="256"/>
      <c r="DY37" s="256"/>
      <c r="DZ37" s="256"/>
      <c r="EA37" s="256"/>
      <c r="EB37" s="256"/>
      <c r="EC37" s="256"/>
      <c r="ED37" s="256"/>
      <c r="EE37" s="256"/>
      <c r="EF37" s="256"/>
      <c r="EG37" s="256"/>
      <c r="EH37" s="256"/>
      <c r="EI37" s="256"/>
      <c r="EJ37" s="256"/>
      <c r="EK37" s="256"/>
      <c r="EL37" s="256"/>
      <c r="EM37" s="256"/>
      <c r="EN37" s="256"/>
      <c r="EO37" s="256"/>
      <c r="EP37" s="256"/>
      <c r="EQ37" s="256"/>
      <c r="ER37" s="256"/>
      <c r="ES37" s="256"/>
      <c r="ET37" s="256"/>
      <c r="EU37" s="256"/>
      <c r="EV37" s="256"/>
      <c r="EW37" s="256"/>
      <c r="EX37" s="256"/>
      <c r="EY37" s="256"/>
      <c r="EZ37" s="256"/>
      <c r="FA37" s="256"/>
      <c r="FB37" s="256"/>
      <c r="FC37" s="256"/>
      <c r="FD37" s="256"/>
      <c r="FE37" s="256"/>
      <c r="FF37" s="256"/>
      <c r="FG37" s="256"/>
      <c r="FH37" s="256"/>
      <c r="FI37" s="256"/>
      <c r="FJ37" s="256"/>
      <c r="FK37" s="256"/>
      <c r="FL37" s="256"/>
      <c r="FM37" s="256"/>
      <c r="FN37" s="256"/>
      <c r="FO37" s="256"/>
      <c r="FP37" s="256"/>
      <c r="FQ37" s="256"/>
      <c r="FR37" s="256"/>
      <c r="FS37" s="256"/>
      <c r="FT37" s="256"/>
      <c r="FU37" s="256"/>
      <c r="FV37" s="256"/>
      <c r="FW37" s="256"/>
      <c r="FX37" s="256"/>
      <c r="FY37" s="256"/>
      <c r="FZ37" s="256"/>
      <c r="GA37" s="256"/>
      <c r="GB37" s="256"/>
      <c r="GC37" s="256"/>
      <c r="GD37" s="256"/>
      <c r="GE37" s="256"/>
      <c r="GF37" s="256"/>
      <c r="GG37" s="256"/>
      <c r="GH37" s="256"/>
      <c r="GI37" s="256"/>
      <c r="GJ37" s="256"/>
      <c r="GK37" s="256"/>
      <c r="GL37" s="256"/>
      <c r="GM37" s="256"/>
      <c r="GN37" s="256"/>
      <c r="GO37" s="256"/>
      <c r="GP37" s="256"/>
      <c r="GQ37" s="256"/>
      <c r="GR37" s="256"/>
      <c r="GS37" s="256"/>
      <c r="GT37" s="256"/>
      <c r="GU37" s="256"/>
      <c r="GV37" s="256"/>
      <c r="GW37" s="256"/>
      <c r="GX37" s="256"/>
      <c r="GY37" s="256"/>
      <c r="GZ37" s="256"/>
      <c r="HA37" s="256"/>
      <c r="HB37" s="256"/>
      <c r="HC37" s="256"/>
      <c r="HD37" s="256"/>
      <c r="HE37" s="256"/>
      <c r="HF37" s="256"/>
      <c r="HG37" s="256"/>
      <c r="HH37" s="256"/>
      <c r="HI37" s="256"/>
      <c r="HJ37" s="256"/>
      <c r="HK37" s="256"/>
      <c r="HL37" s="256"/>
      <c r="HM37" s="256"/>
      <c r="HN37" s="256"/>
      <c r="HO37" s="256"/>
      <c r="HP37" s="256"/>
      <c r="HQ37" s="256"/>
      <c r="HR37" s="256"/>
      <c r="HS37" s="256"/>
      <c r="HT37" s="256"/>
      <c r="HU37" s="256"/>
      <c r="HV37" s="256"/>
      <c r="HW37" s="256"/>
      <c r="HX37" s="256"/>
      <c r="HY37" s="256"/>
      <c r="HZ37" s="256"/>
      <c r="IA37" s="256"/>
      <c r="IB37" s="256"/>
      <c r="IC37" s="256"/>
      <c r="ID37" s="256"/>
      <c r="IE37" s="256"/>
      <c r="IF37" s="256"/>
      <c r="IG37" s="256"/>
      <c r="IH37" s="256"/>
      <c r="II37" s="256"/>
      <c r="IJ37" s="256"/>
      <c r="IK37" s="256"/>
      <c r="IL37" s="256"/>
      <c r="IM37" s="256"/>
      <c r="IN37" s="256"/>
      <c r="IO37" s="256"/>
      <c r="IP37" s="256"/>
      <c r="IQ37" s="256"/>
      <c r="IR37" s="256"/>
      <c r="IS37" s="256"/>
    </row>
    <row r="38" spans="1:4" ht="42" customHeight="1">
      <c r="A38" s="359" t="s">
        <v>311</v>
      </c>
      <c r="B38" s="468" t="s">
        <v>355</v>
      </c>
      <c r="C38" s="798"/>
      <c r="D38" s="799"/>
    </row>
    <row r="39" spans="1:4" ht="12.75">
      <c r="A39" s="356"/>
      <c r="B39" s="467" t="s">
        <v>312</v>
      </c>
      <c r="C39" s="436">
        <v>150000000</v>
      </c>
      <c r="D39" s="357">
        <v>6</v>
      </c>
    </row>
    <row r="40" spans="1:4" ht="12.75">
      <c r="A40" s="356"/>
      <c r="B40" s="467" t="s">
        <v>313</v>
      </c>
      <c r="C40" s="436">
        <v>26667000</v>
      </c>
      <c r="D40" s="357">
        <v>6</v>
      </c>
    </row>
    <row r="41" spans="1:4" ht="12.75">
      <c r="A41" s="356"/>
      <c r="B41" s="467" t="s">
        <v>174</v>
      </c>
      <c r="C41" s="436">
        <v>75000000</v>
      </c>
      <c r="D41" s="357">
        <v>6</v>
      </c>
    </row>
    <row r="42" spans="1:4" ht="12.75">
      <c r="A42" s="356"/>
      <c r="B42" s="467" t="s">
        <v>371</v>
      </c>
      <c r="C42" s="436">
        <v>0</v>
      </c>
      <c r="D42" s="357">
        <v>6</v>
      </c>
    </row>
    <row r="43" spans="1:4" ht="12.75">
      <c r="A43" s="356"/>
      <c r="B43" s="467" t="s">
        <v>432</v>
      </c>
      <c r="C43" s="436">
        <v>14000000</v>
      </c>
      <c r="D43" s="357">
        <v>6</v>
      </c>
    </row>
    <row r="44" spans="1:4" ht="12.75">
      <c r="A44" s="356"/>
      <c r="B44" s="467" t="s">
        <v>314</v>
      </c>
      <c r="C44" s="436">
        <v>4426302</v>
      </c>
      <c r="D44" s="357">
        <v>6</v>
      </c>
    </row>
    <row r="45" spans="1:4" ht="12.75">
      <c r="A45" s="356"/>
      <c r="B45" s="467" t="s">
        <v>315</v>
      </c>
      <c r="C45" s="436">
        <v>6639453</v>
      </c>
      <c r="D45" s="357">
        <v>6</v>
      </c>
    </row>
    <row r="46" spans="1:4" ht="12.75">
      <c r="A46" s="356"/>
      <c r="B46" s="467" t="s">
        <v>316</v>
      </c>
      <c r="C46" s="436">
        <v>20000000</v>
      </c>
      <c r="D46" s="357">
        <v>6</v>
      </c>
    </row>
    <row r="47" spans="1:4" ht="12.75">
      <c r="A47" s="356"/>
      <c r="B47" s="467" t="s">
        <v>433</v>
      </c>
      <c r="C47" s="436">
        <v>11466000</v>
      </c>
      <c r="D47" s="357">
        <v>6</v>
      </c>
    </row>
    <row r="48" spans="1:253" ht="12.75">
      <c r="A48" s="356"/>
      <c r="B48" s="259"/>
      <c r="C48" s="252"/>
      <c r="D48" s="358"/>
      <c r="E48" s="256"/>
      <c r="F48" s="255"/>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6"/>
      <c r="BR48" s="256"/>
      <c r="BS48" s="256"/>
      <c r="BT48" s="256"/>
      <c r="BU48" s="256"/>
      <c r="BV48" s="256"/>
      <c r="BW48" s="256"/>
      <c r="BX48" s="256"/>
      <c r="BY48" s="256"/>
      <c r="BZ48" s="256"/>
      <c r="CA48" s="256"/>
      <c r="CB48" s="256"/>
      <c r="CC48" s="256"/>
      <c r="CD48" s="256"/>
      <c r="CE48" s="256"/>
      <c r="CF48" s="256"/>
      <c r="CG48" s="256"/>
      <c r="CH48" s="256"/>
      <c r="CI48" s="256"/>
      <c r="CJ48" s="256"/>
      <c r="CK48" s="256"/>
      <c r="CL48" s="256"/>
      <c r="CM48" s="256"/>
      <c r="CN48" s="256"/>
      <c r="CO48" s="256"/>
      <c r="CP48" s="256"/>
      <c r="CQ48" s="256"/>
      <c r="CR48" s="256"/>
      <c r="CS48" s="256"/>
      <c r="CT48" s="256"/>
      <c r="CU48" s="256"/>
      <c r="CV48" s="256"/>
      <c r="CW48" s="256"/>
      <c r="CX48" s="256"/>
      <c r="CY48" s="256"/>
      <c r="CZ48" s="256"/>
      <c r="DA48" s="256"/>
      <c r="DB48" s="256"/>
      <c r="DC48" s="256"/>
      <c r="DD48" s="256"/>
      <c r="DE48" s="256"/>
      <c r="DF48" s="256"/>
      <c r="DG48" s="256"/>
      <c r="DH48" s="256"/>
      <c r="DI48" s="256"/>
      <c r="DJ48" s="256"/>
      <c r="DK48" s="256"/>
      <c r="DL48" s="256"/>
      <c r="DM48" s="256"/>
      <c r="DN48" s="256"/>
      <c r="DO48" s="256"/>
      <c r="DP48" s="256"/>
      <c r="DQ48" s="256"/>
      <c r="DR48" s="256"/>
      <c r="DS48" s="256"/>
      <c r="DT48" s="256"/>
      <c r="DU48" s="256"/>
      <c r="DV48" s="256"/>
      <c r="DW48" s="256"/>
      <c r="DX48" s="256"/>
      <c r="DY48" s="256"/>
      <c r="DZ48" s="256"/>
      <c r="EA48" s="256"/>
      <c r="EB48" s="256"/>
      <c r="EC48" s="256"/>
      <c r="ED48" s="256"/>
      <c r="EE48" s="256"/>
      <c r="EF48" s="256"/>
      <c r="EG48" s="256"/>
      <c r="EH48" s="256"/>
      <c r="EI48" s="256"/>
      <c r="EJ48" s="256"/>
      <c r="EK48" s="256"/>
      <c r="EL48" s="256"/>
      <c r="EM48" s="256"/>
      <c r="EN48" s="256"/>
      <c r="EO48" s="256"/>
      <c r="EP48" s="256"/>
      <c r="EQ48" s="256"/>
      <c r="ER48" s="256"/>
      <c r="ES48" s="256"/>
      <c r="ET48" s="256"/>
      <c r="EU48" s="256"/>
      <c r="EV48" s="256"/>
      <c r="EW48" s="256"/>
      <c r="EX48" s="256"/>
      <c r="EY48" s="256"/>
      <c r="EZ48" s="256"/>
      <c r="FA48" s="256"/>
      <c r="FB48" s="256"/>
      <c r="FC48" s="256"/>
      <c r="FD48" s="256"/>
      <c r="FE48" s="256"/>
      <c r="FF48" s="256"/>
      <c r="FG48" s="256"/>
      <c r="FH48" s="256"/>
      <c r="FI48" s="256"/>
      <c r="FJ48" s="256"/>
      <c r="FK48" s="256"/>
      <c r="FL48" s="256"/>
      <c r="FM48" s="256"/>
      <c r="FN48" s="256"/>
      <c r="FO48" s="256"/>
      <c r="FP48" s="256"/>
      <c r="FQ48" s="256"/>
      <c r="FR48" s="256"/>
      <c r="FS48" s="256"/>
      <c r="FT48" s="256"/>
      <c r="FU48" s="256"/>
      <c r="FV48" s="256"/>
      <c r="FW48" s="256"/>
      <c r="FX48" s="256"/>
      <c r="FY48" s="256"/>
      <c r="FZ48" s="256"/>
      <c r="GA48" s="256"/>
      <c r="GB48" s="256"/>
      <c r="GC48" s="256"/>
      <c r="GD48" s="256"/>
      <c r="GE48" s="256"/>
      <c r="GF48" s="256"/>
      <c r="GG48" s="256"/>
      <c r="GH48" s="256"/>
      <c r="GI48" s="256"/>
      <c r="GJ48" s="256"/>
      <c r="GK48" s="256"/>
      <c r="GL48" s="256"/>
      <c r="GM48" s="256"/>
      <c r="GN48" s="256"/>
      <c r="GO48" s="256"/>
      <c r="GP48" s="256"/>
      <c r="GQ48" s="256"/>
      <c r="GR48" s="256"/>
      <c r="GS48" s="256"/>
      <c r="GT48" s="256"/>
      <c r="GU48" s="256"/>
      <c r="GV48" s="256"/>
      <c r="GW48" s="256"/>
      <c r="GX48" s="256"/>
      <c r="GY48" s="256"/>
      <c r="GZ48" s="256"/>
      <c r="HA48" s="256"/>
      <c r="HB48" s="256"/>
      <c r="HC48" s="256"/>
      <c r="HD48" s="256"/>
      <c r="HE48" s="256"/>
      <c r="HF48" s="256"/>
      <c r="HG48" s="256"/>
      <c r="HH48" s="256"/>
      <c r="HI48" s="256"/>
      <c r="HJ48" s="256"/>
      <c r="HK48" s="256"/>
      <c r="HL48" s="256"/>
      <c r="HM48" s="256"/>
      <c r="HN48" s="256"/>
      <c r="HO48" s="256"/>
      <c r="HP48" s="256"/>
      <c r="HQ48" s="256"/>
      <c r="HR48" s="256"/>
      <c r="HS48" s="256"/>
      <c r="HT48" s="256"/>
      <c r="HU48" s="256"/>
      <c r="HV48" s="256"/>
      <c r="HW48" s="256"/>
      <c r="HX48" s="256"/>
      <c r="HY48" s="256"/>
      <c r="HZ48" s="256"/>
      <c r="IA48" s="256"/>
      <c r="IB48" s="256"/>
      <c r="IC48" s="256"/>
      <c r="ID48" s="256"/>
      <c r="IE48" s="256"/>
      <c r="IF48" s="256"/>
      <c r="IG48" s="256"/>
      <c r="IH48" s="256"/>
      <c r="II48" s="256"/>
      <c r="IJ48" s="256"/>
      <c r="IK48" s="256"/>
      <c r="IL48" s="256"/>
      <c r="IM48" s="256"/>
      <c r="IN48" s="256"/>
      <c r="IO48" s="256"/>
      <c r="IP48" s="256"/>
      <c r="IQ48" s="256"/>
      <c r="IR48" s="256"/>
      <c r="IS48" s="256"/>
    </row>
    <row r="49" spans="1:4" ht="27" customHeight="1">
      <c r="A49" s="359" t="s">
        <v>317</v>
      </c>
      <c r="B49" s="470" t="s">
        <v>434</v>
      </c>
      <c r="C49" s="791"/>
      <c r="D49" s="792"/>
    </row>
    <row r="50" spans="1:4" ht="12.75">
      <c r="A50" s="356"/>
      <c r="B50" s="467" t="s">
        <v>318</v>
      </c>
      <c r="C50" s="436">
        <f>18442925*6</f>
        <v>110657550</v>
      </c>
      <c r="D50" s="357">
        <v>7</v>
      </c>
    </row>
    <row r="51" spans="1:4" ht="12.75">
      <c r="A51" s="356"/>
      <c r="B51" s="467" t="s">
        <v>319</v>
      </c>
      <c r="C51" s="436">
        <f>+C50*12%</f>
        <v>13278906</v>
      </c>
      <c r="D51" s="357">
        <v>7</v>
      </c>
    </row>
    <row r="52" spans="1:253" ht="12.75">
      <c r="A52" s="356"/>
      <c r="B52" s="259"/>
      <c r="C52" s="252"/>
      <c r="D52" s="358"/>
      <c r="E52" s="256"/>
      <c r="F52" s="255"/>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c r="BV52" s="256"/>
      <c r="BW52" s="256"/>
      <c r="BX52" s="256"/>
      <c r="BY52" s="256"/>
      <c r="BZ52" s="256"/>
      <c r="CA52" s="256"/>
      <c r="CB52" s="256"/>
      <c r="CC52" s="256"/>
      <c r="CD52" s="256"/>
      <c r="CE52" s="256"/>
      <c r="CF52" s="256"/>
      <c r="CG52" s="256"/>
      <c r="CH52" s="256"/>
      <c r="CI52" s="256"/>
      <c r="CJ52" s="256"/>
      <c r="CK52" s="256"/>
      <c r="CL52" s="256"/>
      <c r="CM52" s="256"/>
      <c r="CN52" s="256"/>
      <c r="CO52" s="256"/>
      <c r="CP52" s="256"/>
      <c r="CQ52" s="256"/>
      <c r="CR52" s="256"/>
      <c r="CS52" s="256"/>
      <c r="CT52" s="256"/>
      <c r="CU52" s="256"/>
      <c r="CV52" s="256"/>
      <c r="CW52" s="256"/>
      <c r="CX52" s="256"/>
      <c r="CY52" s="256"/>
      <c r="CZ52" s="256"/>
      <c r="DA52" s="256"/>
      <c r="DB52" s="256"/>
      <c r="DC52" s="256"/>
      <c r="DD52" s="256"/>
      <c r="DE52" s="256"/>
      <c r="DF52" s="256"/>
      <c r="DG52" s="256"/>
      <c r="DH52" s="256"/>
      <c r="DI52" s="256"/>
      <c r="DJ52" s="256"/>
      <c r="DK52" s="256"/>
      <c r="DL52" s="256"/>
      <c r="DM52" s="256"/>
      <c r="DN52" s="256"/>
      <c r="DO52" s="256"/>
      <c r="DP52" s="256"/>
      <c r="DQ52" s="256"/>
      <c r="DR52" s="256"/>
      <c r="DS52" s="256"/>
      <c r="DT52" s="256"/>
      <c r="DU52" s="256"/>
      <c r="DV52" s="256"/>
      <c r="DW52" s="256"/>
      <c r="DX52" s="256"/>
      <c r="DY52" s="256"/>
      <c r="DZ52" s="256"/>
      <c r="EA52" s="256"/>
      <c r="EB52" s="256"/>
      <c r="EC52" s="256"/>
      <c r="ED52" s="256"/>
      <c r="EE52" s="256"/>
      <c r="EF52" s="256"/>
      <c r="EG52" s="256"/>
      <c r="EH52" s="256"/>
      <c r="EI52" s="256"/>
      <c r="EJ52" s="256"/>
      <c r="EK52" s="256"/>
      <c r="EL52" s="256"/>
      <c r="EM52" s="256"/>
      <c r="EN52" s="256"/>
      <c r="EO52" s="256"/>
      <c r="EP52" s="256"/>
      <c r="EQ52" s="256"/>
      <c r="ER52" s="256"/>
      <c r="ES52" s="256"/>
      <c r="ET52" s="256"/>
      <c r="EU52" s="256"/>
      <c r="EV52" s="256"/>
      <c r="EW52" s="256"/>
      <c r="EX52" s="256"/>
      <c r="EY52" s="256"/>
      <c r="EZ52" s="256"/>
      <c r="FA52" s="256"/>
      <c r="FB52" s="256"/>
      <c r="FC52" s="256"/>
      <c r="FD52" s="256"/>
      <c r="FE52" s="256"/>
      <c r="FF52" s="256"/>
      <c r="FG52" s="256"/>
      <c r="FH52" s="256"/>
      <c r="FI52" s="256"/>
      <c r="FJ52" s="256"/>
      <c r="FK52" s="256"/>
      <c r="FL52" s="256"/>
      <c r="FM52" s="256"/>
      <c r="FN52" s="256"/>
      <c r="FO52" s="256"/>
      <c r="FP52" s="256"/>
      <c r="FQ52" s="256"/>
      <c r="FR52" s="256"/>
      <c r="FS52" s="256"/>
      <c r="FT52" s="256"/>
      <c r="FU52" s="256"/>
      <c r="FV52" s="256"/>
      <c r="FW52" s="256"/>
      <c r="FX52" s="256"/>
      <c r="FY52" s="256"/>
      <c r="FZ52" s="256"/>
      <c r="GA52" s="256"/>
      <c r="GB52" s="256"/>
      <c r="GC52" s="256"/>
      <c r="GD52" s="256"/>
      <c r="GE52" s="256"/>
      <c r="GF52" s="256"/>
      <c r="GG52" s="256"/>
      <c r="GH52" s="256"/>
      <c r="GI52" s="256"/>
      <c r="GJ52" s="256"/>
      <c r="GK52" s="256"/>
      <c r="GL52" s="256"/>
      <c r="GM52" s="256"/>
      <c r="GN52" s="256"/>
      <c r="GO52" s="256"/>
      <c r="GP52" s="256"/>
      <c r="GQ52" s="256"/>
      <c r="GR52" s="256"/>
      <c r="GS52" s="256"/>
      <c r="GT52" s="256"/>
      <c r="GU52" s="256"/>
      <c r="GV52" s="256"/>
      <c r="GW52" s="256"/>
      <c r="GX52" s="256"/>
      <c r="GY52" s="256"/>
      <c r="GZ52" s="256"/>
      <c r="HA52" s="256"/>
      <c r="HB52" s="256"/>
      <c r="HC52" s="256"/>
      <c r="HD52" s="256"/>
      <c r="HE52" s="256"/>
      <c r="HF52" s="256"/>
      <c r="HG52" s="256"/>
      <c r="HH52" s="256"/>
      <c r="HI52" s="256"/>
      <c r="HJ52" s="256"/>
      <c r="HK52" s="256"/>
      <c r="HL52" s="256"/>
      <c r="HM52" s="256"/>
      <c r="HN52" s="256"/>
      <c r="HO52" s="256"/>
      <c r="HP52" s="256"/>
      <c r="HQ52" s="256"/>
      <c r="HR52" s="256"/>
      <c r="HS52" s="256"/>
      <c r="HT52" s="256"/>
      <c r="HU52" s="256"/>
      <c r="HV52" s="256"/>
      <c r="HW52" s="256"/>
      <c r="HX52" s="256"/>
      <c r="HY52" s="256"/>
      <c r="HZ52" s="256"/>
      <c r="IA52" s="256"/>
      <c r="IB52" s="256"/>
      <c r="IC52" s="256"/>
      <c r="ID52" s="256"/>
      <c r="IE52" s="256"/>
      <c r="IF52" s="256"/>
      <c r="IG52" s="256"/>
      <c r="IH52" s="256"/>
      <c r="II52" s="256"/>
      <c r="IJ52" s="256"/>
      <c r="IK52" s="256"/>
      <c r="IL52" s="256"/>
      <c r="IM52" s="256"/>
      <c r="IN52" s="256"/>
      <c r="IO52" s="256"/>
      <c r="IP52" s="256"/>
      <c r="IQ52" s="256"/>
      <c r="IR52" s="256"/>
      <c r="IS52" s="256"/>
    </row>
    <row r="53" spans="1:253" ht="90" customHeight="1">
      <c r="A53" s="359" t="s">
        <v>320</v>
      </c>
      <c r="B53" s="469" t="s">
        <v>435</v>
      </c>
      <c r="C53" s="793"/>
      <c r="D53" s="794"/>
      <c r="E53" s="242"/>
      <c r="F53" s="243"/>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2"/>
      <c r="BR53" s="242"/>
      <c r="BS53" s="242"/>
      <c r="BT53" s="242"/>
      <c r="BU53" s="242"/>
      <c r="BV53" s="242"/>
      <c r="BW53" s="242"/>
      <c r="BX53" s="242"/>
      <c r="BY53" s="242"/>
      <c r="BZ53" s="242"/>
      <c r="CA53" s="242"/>
      <c r="CB53" s="242"/>
      <c r="CC53" s="242"/>
      <c r="CD53" s="242"/>
      <c r="CE53" s="242"/>
      <c r="CF53" s="242"/>
      <c r="CG53" s="242"/>
      <c r="CH53" s="242"/>
      <c r="CI53" s="242"/>
      <c r="CJ53" s="242"/>
      <c r="CK53" s="242"/>
      <c r="CL53" s="242"/>
      <c r="CM53" s="242"/>
      <c r="CN53" s="242"/>
      <c r="CO53" s="242"/>
      <c r="CP53" s="242"/>
      <c r="CQ53" s="242"/>
      <c r="CR53" s="242"/>
      <c r="CS53" s="242"/>
      <c r="CT53" s="242"/>
      <c r="CU53" s="242"/>
      <c r="CV53" s="242"/>
      <c r="CW53" s="242"/>
      <c r="CX53" s="242"/>
      <c r="CY53" s="242"/>
      <c r="CZ53" s="242"/>
      <c r="DA53" s="242"/>
      <c r="DB53" s="242"/>
      <c r="DC53" s="242"/>
      <c r="DD53" s="242"/>
      <c r="DE53" s="242"/>
      <c r="DF53" s="242"/>
      <c r="DG53" s="242"/>
      <c r="DH53" s="242"/>
      <c r="DI53" s="242"/>
      <c r="DJ53" s="242"/>
      <c r="DK53" s="242"/>
      <c r="DL53" s="242"/>
      <c r="DM53" s="242"/>
      <c r="DN53" s="242"/>
      <c r="DO53" s="242"/>
      <c r="DP53" s="242"/>
      <c r="DQ53" s="242"/>
      <c r="DR53" s="242"/>
      <c r="DS53" s="242"/>
      <c r="DT53" s="242"/>
      <c r="DU53" s="242"/>
      <c r="DV53" s="242"/>
      <c r="DW53" s="242"/>
      <c r="DX53" s="242"/>
      <c r="DY53" s="242"/>
      <c r="DZ53" s="242"/>
      <c r="EA53" s="242"/>
      <c r="EB53" s="242"/>
      <c r="EC53" s="242"/>
      <c r="ED53" s="242"/>
      <c r="EE53" s="242"/>
      <c r="EF53" s="242"/>
      <c r="EG53" s="242"/>
      <c r="EH53" s="242"/>
      <c r="EI53" s="242"/>
      <c r="EJ53" s="242"/>
      <c r="EK53" s="242"/>
      <c r="EL53" s="242"/>
      <c r="EM53" s="242"/>
      <c r="EN53" s="242"/>
      <c r="EO53" s="242"/>
      <c r="EP53" s="242"/>
      <c r="EQ53" s="242"/>
      <c r="ER53" s="242"/>
      <c r="ES53" s="242"/>
      <c r="ET53" s="242"/>
      <c r="EU53" s="242"/>
      <c r="EV53" s="242"/>
      <c r="EW53" s="242"/>
      <c r="EX53" s="242"/>
      <c r="EY53" s="242"/>
      <c r="EZ53" s="242"/>
      <c r="FA53" s="242"/>
      <c r="FB53" s="242"/>
      <c r="FC53" s="242"/>
      <c r="FD53" s="242"/>
      <c r="FE53" s="242"/>
      <c r="FF53" s="242"/>
      <c r="FG53" s="242"/>
      <c r="FH53" s="242"/>
      <c r="FI53" s="242"/>
      <c r="FJ53" s="242"/>
      <c r="FK53" s="242"/>
      <c r="FL53" s="242"/>
      <c r="FM53" s="242"/>
      <c r="FN53" s="242"/>
      <c r="FO53" s="242"/>
      <c r="FP53" s="242"/>
      <c r="FQ53" s="242"/>
      <c r="FR53" s="242"/>
      <c r="FS53" s="242"/>
      <c r="FT53" s="242"/>
      <c r="FU53" s="242"/>
      <c r="FV53" s="242"/>
      <c r="FW53" s="242"/>
      <c r="FX53" s="242"/>
      <c r="FY53" s="242"/>
      <c r="FZ53" s="242"/>
      <c r="GA53" s="242"/>
      <c r="GB53" s="242"/>
      <c r="GC53" s="242"/>
      <c r="GD53" s="242"/>
      <c r="GE53" s="242"/>
      <c r="GF53" s="242"/>
      <c r="GG53" s="242"/>
      <c r="GH53" s="242"/>
      <c r="GI53" s="242"/>
      <c r="GJ53" s="242"/>
      <c r="GK53" s="242"/>
      <c r="GL53" s="242"/>
      <c r="GM53" s="242"/>
      <c r="GN53" s="242"/>
      <c r="GO53" s="242"/>
      <c r="GP53" s="242"/>
      <c r="GQ53" s="242"/>
      <c r="GR53" s="242"/>
      <c r="GS53" s="242"/>
      <c r="GT53" s="242"/>
      <c r="GU53" s="242"/>
      <c r="GV53" s="242"/>
      <c r="GW53" s="242"/>
      <c r="GX53" s="242"/>
      <c r="GY53" s="242"/>
      <c r="GZ53" s="242"/>
      <c r="HA53" s="242"/>
      <c r="HB53" s="242"/>
      <c r="HC53" s="242"/>
      <c r="HD53" s="242"/>
      <c r="HE53" s="242"/>
      <c r="HF53" s="242"/>
      <c r="HG53" s="242"/>
      <c r="HH53" s="242"/>
      <c r="HI53" s="242"/>
      <c r="HJ53" s="242"/>
      <c r="HK53" s="242"/>
      <c r="HL53" s="242"/>
      <c r="HM53" s="242"/>
      <c r="HN53" s="242"/>
      <c r="HO53" s="242"/>
      <c r="HP53" s="242"/>
      <c r="HQ53" s="242"/>
      <c r="HR53" s="242"/>
      <c r="HS53" s="242"/>
      <c r="HT53" s="242"/>
      <c r="HU53" s="242"/>
      <c r="HV53" s="242"/>
      <c r="HW53" s="242"/>
      <c r="HX53" s="242"/>
      <c r="HY53" s="242"/>
      <c r="HZ53" s="242"/>
      <c r="IA53" s="242"/>
      <c r="IB53" s="242"/>
      <c r="IC53" s="242"/>
      <c r="ID53" s="242"/>
      <c r="IE53" s="242"/>
      <c r="IF53" s="242"/>
      <c r="IG53" s="242"/>
      <c r="IH53" s="242"/>
      <c r="II53" s="242"/>
      <c r="IJ53" s="242"/>
      <c r="IK53" s="242"/>
      <c r="IL53" s="242"/>
      <c r="IM53" s="242"/>
      <c r="IN53" s="242"/>
      <c r="IO53" s="242"/>
      <c r="IP53" s="242"/>
      <c r="IQ53" s="242"/>
      <c r="IR53" s="242"/>
      <c r="IS53" s="242"/>
    </row>
    <row r="54" spans="1:253" ht="12.75">
      <c r="A54" s="360"/>
      <c r="B54" s="467" t="s">
        <v>321</v>
      </c>
      <c r="C54" s="447">
        <v>100000000</v>
      </c>
      <c r="D54" s="361">
        <v>9</v>
      </c>
      <c r="E54" s="244"/>
      <c r="F54" s="243"/>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2"/>
      <c r="BR54" s="242"/>
      <c r="BS54" s="242"/>
      <c r="BT54" s="242"/>
      <c r="BU54" s="242"/>
      <c r="BV54" s="242"/>
      <c r="BW54" s="242"/>
      <c r="BX54" s="242"/>
      <c r="BY54" s="242"/>
      <c r="BZ54" s="242"/>
      <c r="CA54" s="242"/>
      <c r="CB54" s="242"/>
      <c r="CC54" s="242"/>
      <c r="CD54" s="242"/>
      <c r="CE54" s="242"/>
      <c r="CF54" s="242"/>
      <c r="CG54" s="242"/>
      <c r="CH54" s="242"/>
      <c r="CI54" s="242"/>
      <c r="CJ54" s="242"/>
      <c r="CK54" s="242"/>
      <c r="CL54" s="242"/>
      <c r="CM54" s="242"/>
      <c r="CN54" s="242"/>
      <c r="CO54" s="242"/>
      <c r="CP54" s="242"/>
      <c r="CQ54" s="242"/>
      <c r="CR54" s="242"/>
      <c r="CS54" s="242"/>
      <c r="CT54" s="242"/>
      <c r="CU54" s="242"/>
      <c r="CV54" s="242"/>
      <c r="CW54" s="242"/>
      <c r="CX54" s="242"/>
      <c r="CY54" s="242"/>
      <c r="CZ54" s="242"/>
      <c r="DA54" s="242"/>
      <c r="DB54" s="242"/>
      <c r="DC54" s="242"/>
      <c r="DD54" s="242"/>
      <c r="DE54" s="242"/>
      <c r="DF54" s="242"/>
      <c r="DG54" s="242"/>
      <c r="DH54" s="242"/>
      <c r="DI54" s="242"/>
      <c r="DJ54" s="242"/>
      <c r="DK54" s="242"/>
      <c r="DL54" s="242"/>
      <c r="DM54" s="242"/>
      <c r="DN54" s="242"/>
      <c r="DO54" s="242"/>
      <c r="DP54" s="242"/>
      <c r="DQ54" s="242"/>
      <c r="DR54" s="242"/>
      <c r="DS54" s="242"/>
      <c r="DT54" s="242"/>
      <c r="DU54" s="242"/>
      <c r="DV54" s="242"/>
      <c r="DW54" s="242"/>
      <c r="DX54" s="242"/>
      <c r="DY54" s="242"/>
      <c r="DZ54" s="242"/>
      <c r="EA54" s="242"/>
      <c r="EB54" s="242"/>
      <c r="EC54" s="242"/>
      <c r="ED54" s="242"/>
      <c r="EE54" s="242"/>
      <c r="EF54" s="242"/>
      <c r="EG54" s="242"/>
      <c r="EH54" s="242"/>
      <c r="EI54" s="242"/>
      <c r="EJ54" s="242"/>
      <c r="EK54" s="242"/>
      <c r="EL54" s="242"/>
      <c r="EM54" s="242"/>
      <c r="EN54" s="242"/>
      <c r="EO54" s="242"/>
      <c r="EP54" s="242"/>
      <c r="EQ54" s="242"/>
      <c r="ER54" s="242"/>
      <c r="ES54" s="242"/>
      <c r="ET54" s="242"/>
      <c r="EU54" s="242"/>
      <c r="EV54" s="242"/>
      <c r="EW54" s="242"/>
      <c r="EX54" s="242"/>
      <c r="EY54" s="242"/>
      <c r="EZ54" s="242"/>
      <c r="FA54" s="242"/>
      <c r="FB54" s="242"/>
      <c r="FC54" s="242"/>
      <c r="FD54" s="242"/>
      <c r="FE54" s="242"/>
      <c r="FF54" s="242"/>
      <c r="FG54" s="242"/>
      <c r="FH54" s="242"/>
      <c r="FI54" s="242"/>
      <c r="FJ54" s="242"/>
      <c r="FK54" s="242"/>
      <c r="FL54" s="242"/>
      <c r="FM54" s="242"/>
      <c r="FN54" s="242"/>
      <c r="FO54" s="242"/>
      <c r="FP54" s="242"/>
      <c r="FQ54" s="242"/>
      <c r="FR54" s="242"/>
      <c r="FS54" s="242"/>
      <c r="FT54" s="242"/>
      <c r="FU54" s="242"/>
      <c r="FV54" s="242"/>
      <c r="FW54" s="242"/>
      <c r="FX54" s="242"/>
      <c r="FY54" s="242"/>
      <c r="FZ54" s="242"/>
      <c r="GA54" s="242"/>
      <c r="GB54" s="242"/>
      <c r="GC54" s="242"/>
      <c r="GD54" s="242"/>
      <c r="GE54" s="242"/>
      <c r="GF54" s="242"/>
      <c r="GG54" s="242"/>
      <c r="GH54" s="242"/>
      <c r="GI54" s="242"/>
      <c r="GJ54" s="242"/>
      <c r="GK54" s="242"/>
      <c r="GL54" s="242"/>
      <c r="GM54" s="242"/>
      <c r="GN54" s="242"/>
      <c r="GO54" s="242"/>
      <c r="GP54" s="242"/>
      <c r="GQ54" s="242"/>
      <c r="GR54" s="242"/>
      <c r="GS54" s="242"/>
      <c r="GT54" s="242"/>
      <c r="GU54" s="242"/>
      <c r="GV54" s="242"/>
      <c r="GW54" s="242"/>
      <c r="GX54" s="242"/>
      <c r="GY54" s="242"/>
      <c r="GZ54" s="242"/>
      <c r="HA54" s="242"/>
      <c r="HB54" s="242"/>
      <c r="HC54" s="242"/>
      <c r="HD54" s="242"/>
      <c r="HE54" s="242"/>
      <c r="HF54" s="242"/>
      <c r="HG54" s="242"/>
      <c r="HH54" s="242"/>
      <c r="HI54" s="242"/>
      <c r="HJ54" s="242"/>
      <c r="HK54" s="242"/>
      <c r="HL54" s="242"/>
      <c r="HM54" s="242"/>
      <c r="HN54" s="242"/>
      <c r="HO54" s="242"/>
      <c r="HP54" s="242"/>
      <c r="HQ54" s="242"/>
      <c r="HR54" s="242"/>
      <c r="HS54" s="242"/>
      <c r="HT54" s="242"/>
      <c r="HU54" s="242"/>
      <c r="HV54" s="242"/>
      <c r="HW54" s="242"/>
      <c r="HX54" s="242"/>
      <c r="HY54" s="242"/>
      <c r="HZ54" s="242"/>
      <c r="IA54" s="242"/>
      <c r="IB54" s="242"/>
      <c r="IC54" s="242"/>
      <c r="ID54" s="242"/>
      <c r="IE54" s="242"/>
      <c r="IF54" s="242"/>
      <c r="IG54" s="242"/>
      <c r="IH54" s="242"/>
      <c r="II54" s="242"/>
      <c r="IJ54" s="242"/>
      <c r="IK54" s="242"/>
      <c r="IL54" s="242"/>
      <c r="IM54" s="242"/>
      <c r="IN54" s="242"/>
      <c r="IO54" s="242"/>
      <c r="IP54" s="242"/>
      <c r="IQ54" s="242"/>
      <c r="IR54" s="242"/>
      <c r="IS54" s="242"/>
    </row>
    <row r="55" spans="1:5" ht="12.75">
      <c r="A55" s="356"/>
      <c r="B55" s="463" t="s">
        <v>322</v>
      </c>
      <c r="C55" s="436">
        <f>+(C54*40%)*12.5%</f>
        <v>5000000</v>
      </c>
      <c r="D55" s="357">
        <v>9</v>
      </c>
      <c r="E55" s="245"/>
    </row>
    <row r="56" spans="1:5" ht="12.75">
      <c r="A56" s="356"/>
      <c r="B56" s="463" t="s">
        <v>323</v>
      </c>
      <c r="C56" s="436">
        <f>+(C54-C55)*11%</f>
        <v>10450000</v>
      </c>
      <c r="D56" s="357">
        <v>9</v>
      </c>
      <c r="E56" s="245"/>
    </row>
    <row r="57" spans="1:5" ht="12.75">
      <c r="A57" s="356"/>
      <c r="B57" s="463" t="s">
        <v>324</v>
      </c>
      <c r="C57" s="436">
        <v>50000000</v>
      </c>
      <c r="D57" s="357">
        <v>9</v>
      </c>
      <c r="E57" s="246"/>
    </row>
    <row r="58" spans="1:253" ht="12.75">
      <c r="A58" s="356"/>
      <c r="B58" s="465"/>
      <c r="C58" s="252"/>
      <c r="D58" s="358"/>
      <c r="E58" s="253"/>
      <c r="F58" s="255"/>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6"/>
      <c r="AZ58" s="256"/>
      <c r="BA58" s="256"/>
      <c r="BB58" s="256"/>
      <c r="BC58" s="256"/>
      <c r="BD58" s="256"/>
      <c r="BE58" s="256"/>
      <c r="BF58" s="256"/>
      <c r="BG58" s="256"/>
      <c r="BH58" s="256"/>
      <c r="BI58" s="256"/>
      <c r="BJ58" s="256"/>
      <c r="BK58" s="256"/>
      <c r="BL58" s="256"/>
      <c r="BM58" s="256"/>
      <c r="BN58" s="256"/>
      <c r="BO58" s="256"/>
      <c r="BP58" s="256"/>
      <c r="BQ58" s="256"/>
      <c r="BR58" s="256"/>
      <c r="BS58" s="256"/>
      <c r="BT58" s="256"/>
      <c r="BU58" s="256"/>
      <c r="BV58" s="256"/>
      <c r="BW58" s="256"/>
      <c r="BX58" s="256"/>
      <c r="BY58" s="256"/>
      <c r="BZ58" s="256"/>
      <c r="CA58" s="256"/>
      <c r="CB58" s="256"/>
      <c r="CC58" s="256"/>
      <c r="CD58" s="256"/>
      <c r="CE58" s="256"/>
      <c r="CF58" s="256"/>
      <c r="CG58" s="256"/>
      <c r="CH58" s="256"/>
      <c r="CI58" s="256"/>
      <c r="CJ58" s="256"/>
      <c r="CK58" s="256"/>
      <c r="CL58" s="256"/>
      <c r="CM58" s="256"/>
      <c r="CN58" s="256"/>
      <c r="CO58" s="256"/>
      <c r="CP58" s="256"/>
      <c r="CQ58" s="256"/>
      <c r="CR58" s="256"/>
      <c r="CS58" s="256"/>
      <c r="CT58" s="256"/>
      <c r="CU58" s="256"/>
      <c r="CV58" s="256"/>
      <c r="CW58" s="256"/>
      <c r="CX58" s="256"/>
      <c r="CY58" s="256"/>
      <c r="CZ58" s="256"/>
      <c r="DA58" s="256"/>
      <c r="DB58" s="256"/>
      <c r="DC58" s="256"/>
      <c r="DD58" s="256"/>
      <c r="DE58" s="256"/>
      <c r="DF58" s="256"/>
      <c r="DG58" s="256"/>
      <c r="DH58" s="256"/>
      <c r="DI58" s="256"/>
      <c r="DJ58" s="256"/>
      <c r="DK58" s="256"/>
      <c r="DL58" s="256"/>
      <c r="DM58" s="256"/>
      <c r="DN58" s="256"/>
      <c r="DO58" s="256"/>
      <c r="DP58" s="256"/>
      <c r="DQ58" s="256"/>
      <c r="DR58" s="256"/>
      <c r="DS58" s="256"/>
      <c r="DT58" s="256"/>
      <c r="DU58" s="256"/>
      <c r="DV58" s="256"/>
      <c r="DW58" s="256"/>
      <c r="DX58" s="256"/>
      <c r="DY58" s="256"/>
      <c r="DZ58" s="256"/>
      <c r="EA58" s="256"/>
      <c r="EB58" s="256"/>
      <c r="EC58" s="256"/>
      <c r="ED58" s="256"/>
      <c r="EE58" s="256"/>
      <c r="EF58" s="256"/>
      <c r="EG58" s="256"/>
      <c r="EH58" s="256"/>
      <c r="EI58" s="256"/>
      <c r="EJ58" s="256"/>
      <c r="EK58" s="256"/>
      <c r="EL58" s="256"/>
      <c r="EM58" s="256"/>
      <c r="EN58" s="256"/>
      <c r="EO58" s="256"/>
      <c r="EP58" s="256"/>
      <c r="EQ58" s="256"/>
      <c r="ER58" s="256"/>
      <c r="ES58" s="256"/>
      <c r="ET58" s="256"/>
      <c r="EU58" s="256"/>
      <c r="EV58" s="256"/>
      <c r="EW58" s="256"/>
      <c r="EX58" s="256"/>
      <c r="EY58" s="256"/>
      <c r="EZ58" s="256"/>
      <c r="FA58" s="256"/>
      <c r="FB58" s="256"/>
      <c r="FC58" s="256"/>
      <c r="FD58" s="256"/>
      <c r="FE58" s="256"/>
      <c r="FF58" s="256"/>
      <c r="FG58" s="256"/>
      <c r="FH58" s="256"/>
      <c r="FI58" s="256"/>
      <c r="FJ58" s="256"/>
      <c r="FK58" s="256"/>
      <c r="FL58" s="256"/>
      <c r="FM58" s="256"/>
      <c r="FN58" s="256"/>
      <c r="FO58" s="256"/>
      <c r="FP58" s="256"/>
      <c r="FQ58" s="256"/>
      <c r="FR58" s="256"/>
      <c r="FS58" s="256"/>
      <c r="FT58" s="256"/>
      <c r="FU58" s="256"/>
      <c r="FV58" s="256"/>
      <c r="FW58" s="256"/>
      <c r="FX58" s="256"/>
      <c r="FY58" s="256"/>
      <c r="FZ58" s="256"/>
      <c r="GA58" s="256"/>
      <c r="GB58" s="256"/>
      <c r="GC58" s="256"/>
      <c r="GD58" s="256"/>
      <c r="GE58" s="256"/>
      <c r="GF58" s="256"/>
      <c r="GG58" s="256"/>
      <c r="GH58" s="256"/>
      <c r="GI58" s="256"/>
      <c r="GJ58" s="256"/>
      <c r="GK58" s="256"/>
      <c r="GL58" s="256"/>
      <c r="GM58" s="256"/>
      <c r="GN58" s="256"/>
      <c r="GO58" s="256"/>
      <c r="GP58" s="256"/>
      <c r="GQ58" s="256"/>
      <c r="GR58" s="256"/>
      <c r="GS58" s="256"/>
      <c r="GT58" s="256"/>
      <c r="GU58" s="256"/>
      <c r="GV58" s="256"/>
      <c r="GW58" s="256"/>
      <c r="GX58" s="256"/>
      <c r="GY58" s="256"/>
      <c r="GZ58" s="256"/>
      <c r="HA58" s="256"/>
      <c r="HB58" s="256"/>
      <c r="HC58" s="256"/>
      <c r="HD58" s="256"/>
      <c r="HE58" s="256"/>
      <c r="HF58" s="256"/>
      <c r="HG58" s="256"/>
      <c r="HH58" s="256"/>
      <c r="HI58" s="256"/>
      <c r="HJ58" s="256"/>
      <c r="HK58" s="256"/>
      <c r="HL58" s="256"/>
      <c r="HM58" s="256"/>
      <c r="HN58" s="256"/>
      <c r="HO58" s="256"/>
      <c r="HP58" s="256"/>
      <c r="HQ58" s="256"/>
      <c r="HR58" s="256"/>
      <c r="HS58" s="256"/>
      <c r="HT58" s="256"/>
      <c r="HU58" s="256"/>
      <c r="HV58" s="256"/>
      <c r="HW58" s="256"/>
      <c r="HX58" s="256"/>
      <c r="HY58" s="256"/>
      <c r="HZ58" s="256"/>
      <c r="IA58" s="256"/>
      <c r="IB58" s="256"/>
      <c r="IC58" s="256"/>
      <c r="ID58" s="256"/>
      <c r="IE58" s="256"/>
      <c r="IF58" s="256"/>
      <c r="IG58" s="256"/>
      <c r="IH58" s="256"/>
      <c r="II58" s="256"/>
      <c r="IJ58" s="256"/>
      <c r="IK58" s="256"/>
      <c r="IL58" s="256"/>
      <c r="IM58" s="256"/>
      <c r="IN58" s="256"/>
      <c r="IO58" s="256"/>
      <c r="IP58" s="256"/>
      <c r="IQ58" s="256"/>
      <c r="IR58" s="256"/>
      <c r="IS58" s="256"/>
    </row>
    <row r="59" spans="1:6" ht="12.75">
      <c r="A59" s="359" t="s">
        <v>325</v>
      </c>
      <c r="B59" s="463" t="s">
        <v>326</v>
      </c>
      <c r="C59" s="436">
        <v>10450000</v>
      </c>
      <c r="D59" s="357">
        <v>10</v>
      </c>
      <c r="E59" s="354"/>
      <c r="F59" s="291"/>
    </row>
    <row r="60" spans="1:253" ht="12.75">
      <c r="A60" s="359"/>
      <c r="B60" s="257"/>
      <c r="C60" s="252"/>
      <c r="D60" s="358"/>
      <c r="E60" s="247"/>
      <c r="F60" s="255"/>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6"/>
      <c r="BC60" s="256"/>
      <c r="BD60" s="256"/>
      <c r="BE60" s="256"/>
      <c r="BF60" s="256"/>
      <c r="BG60" s="256"/>
      <c r="BH60" s="256"/>
      <c r="BI60" s="256"/>
      <c r="BJ60" s="256"/>
      <c r="BK60" s="256"/>
      <c r="BL60" s="256"/>
      <c r="BM60" s="256"/>
      <c r="BN60" s="256"/>
      <c r="BO60" s="256"/>
      <c r="BP60" s="256"/>
      <c r="BQ60" s="256"/>
      <c r="BR60" s="256"/>
      <c r="BS60" s="256"/>
      <c r="BT60" s="256"/>
      <c r="BU60" s="256"/>
      <c r="BV60" s="256"/>
      <c r="BW60" s="256"/>
      <c r="BX60" s="256"/>
      <c r="BY60" s="256"/>
      <c r="BZ60" s="256"/>
      <c r="CA60" s="256"/>
      <c r="CB60" s="256"/>
      <c r="CC60" s="256"/>
      <c r="CD60" s="256"/>
      <c r="CE60" s="256"/>
      <c r="CF60" s="256"/>
      <c r="CG60" s="256"/>
      <c r="CH60" s="256"/>
      <c r="CI60" s="256"/>
      <c r="CJ60" s="256"/>
      <c r="CK60" s="256"/>
      <c r="CL60" s="256"/>
      <c r="CM60" s="256"/>
      <c r="CN60" s="256"/>
      <c r="CO60" s="256"/>
      <c r="CP60" s="256"/>
      <c r="CQ60" s="256"/>
      <c r="CR60" s="256"/>
      <c r="CS60" s="256"/>
      <c r="CT60" s="256"/>
      <c r="CU60" s="256"/>
      <c r="CV60" s="256"/>
      <c r="CW60" s="256"/>
      <c r="CX60" s="256"/>
      <c r="CY60" s="256"/>
      <c r="CZ60" s="256"/>
      <c r="DA60" s="256"/>
      <c r="DB60" s="256"/>
      <c r="DC60" s="256"/>
      <c r="DD60" s="256"/>
      <c r="DE60" s="256"/>
      <c r="DF60" s="256"/>
      <c r="DG60" s="256"/>
      <c r="DH60" s="256"/>
      <c r="DI60" s="256"/>
      <c r="DJ60" s="256"/>
      <c r="DK60" s="256"/>
      <c r="DL60" s="256"/>
      <c r="DM60" s="256"/>
      <c r="DN60" s="256"/>
      <c r="DO60" s="256"/>
      <c r="DP60" s="256"/>
      <c r="DQ60" s="256"/>
      <c r="DR60" s="256"/>
      <c r="DS60" s="256"/>
      <c r="DT60" s="256"/>
      <c r="DU60" s="256"/>
      <c r="DV60" s="256"/>
      <c r="DW60" s="256"/>
      <c r="DX60" s="256"/>
      <c r="DY60" s="256"/>
      <c r="DZ60" s="256"/>
      <c r="EA60" s="256"/>
      <c r="EB60" s="256"/>
      <c r="EC60" s="256"/>
      <c r="ED60" s="256"/>
      <c r="EE60" s="256"/>
      <c r="EF60" s="256"/>
      <c r="EG60" s="256"/>
      <c r="EH60" s="256"/>
      <c r="EI60" s="256"/>
      <c r="EJ60" s="256"/>
      <c r="EK60" s="256"/>
      <c r="EL60" s="256"/>
      <c r="EM60" s="256"/>
      <c r="EN60" s="256"/>
      <c r="EO60" s="256"/>
      <c r="EP60" s="256"/>
      <c r="EQ60" s="256"/>
      <c r="ER60" s="256"/>
      <c r="ES60" s="256"/>
      <c r="ET60" s="256"/>
      <c r="EU60" s="256"/>
      <c r="EV60" s="256"/>
      <c r="EW60" s="256"/>
      <c r="EX60" s="256"/>
      <c r="EY60" s="256"/>
      <c r="EZ60" s="256"/>
      <c r="FA60" s="256"/>
      <c r="FB60" s="256"/>
      <c r="FC60" s="256"/>
      <c r="FD60" s="256"/>
      <c r="FE60" s="256"/>
      <c r="FF60" s="256"/>
      <c r="FG60" s="256"/>
      <c r="FH60" s="256"/>
      <c r="FI60" s="256"/>
      <c r="FJ60" s="256"/>
      <c r="FK60" s="256"/>
      <c r="FL60" s="256"/>
      <c r="FM60" s="256"/>
      <c r="FN60" s="256"/>
      <c r="FO60" s="256"/>
      <c r="FP60" s="256"/>
      <c r="FQ60" s="256"/>
      <c r="FR60" s="256"/>
      <c r="FS60" s="256"/>
      <c r="FT60" s="256"/>
      <c r="FU60" s="256"/>
      <c r="FV60" s="256"/>
      <c r="FW60" s="256"/>
      <c r="FX60" s="256"/>
      <c r="FY60" s="256"/>
      <c r="FZ60" s="256"/>
      <c r="GA60" s="256"/>
      <c r="GB60" s="256"/>
      <c r="GC60" s="256"/>
      <c r="GD60" s="256"/>
      <c r="GE60" s="256"/>
      <c r="GF60" s="256"/>
      <c r="GG60" s="256"/>
      <c r="GH60" s="256"/>
      <c r="GI60" s="256"/>
      <c r="GJ60" s="256"/>
      <c r="GK60" s="256"/>
      <c r="GL60" s="256"/>
      <c r="GM60" s="256"/>
      <c r="GN60" s="256"/>
      <c r="GO60" s="256"/>
      <c r="GP60" s="256"/>
      <c r="GQ60" s="256"/>
      <c r="GR60" s="256"/>
      <c r="GS60" s="256"/>
      <c r="GT60" s="256"/>
      <c r="GU60" s="256"/>
      <c r="GV60" s="256"/>
      <c r="GW60" s="256"/>
      <c r="GX60" s="256"/>
      <c r="GY60" s="256"/>
      <c r="GZ60" s="256"/>
      <c r="HA60" s="256"/>
      <c r="HB60" s="256"/>
      <c r="HC60" s="256"/>
      <c r="HD60" s="256"/>
      <c r="HE60" s="256"/>
      <c r="HF60" s="256"/>
      <c r="HG60" s="256"/>
      <c r="HH60" s="256"/>
      <c r="HI60" s="256"/>
      <c r="HJ60" s="256"/>
      <c r="HK60" s="256"/>
      <c r="HL60" s="256"/>
      <c r="HM60" s="256"/>
      <c r="HN60" s="256"/>
      <c r="HO60" s="256"/>
      <c r="HP60" s="256"/>
      <c r="HQ60" s="256"/>
      <c r="HR60" s="256"/>
      <c r="HS60" s="256"/>
      <c r="HT60" s="256"/>
      <c r="HU60" s="256"/>
      <c r="HV60" s="256"/>
      <c r="HW60" s="256"/>
      <c r="HX60" s="256"/>
      <c r="HY60" s="256"/>
      <c r="HZ60" s="256"/>
      <c r="IA60" s="256"/>
      <c r="IB60" s="256"/>
      <c r="IC60" s="256"/>
      <c r="ID60" s="256"/>
      <c r="IE60" s="256"/>
      <c r="IF60" s="256"/>
      <c r="IG60" s="256"/>
      <c r="IH60" s="256"/>
      <c r="II60" s="256"/>
      <c r="IJ60" s="256"/>
      <c r="IK60" s="256"/>
      <c r="IL60" s="256"/>
      <c r="IM60" s="256"/>
      <c r="IN60" s="256"/>
      <c r="IO60" s="256"/>
      <c r="IP60" s="256"/>
      <c r="IQ60" s="256"/>
      <c r="IR60" s="256"/>
      <c r="IS60" s="256"/>
    </row>
    <row r="61" spans="1:5" ht="12.75">
      <c r="A61" s="359" t="s">
        <v>327</v>
      </c>
      <c r="B61" s="463" t="s">
        <v>328</v>
      </c>
      <c r="C61" s="436">
        <v>42000000</v>
      </c>
      <c r="D61" s="357">
        <v>10</v>
      </c>
      <c r="E61" s="247"/>
    </row>
    <row r="62" spans="1:5" ht="12.75">
      <c r="A62" s="359"/>
      <c r="B62" s="463" t="s">
        <v>329</v>
      </c>
      <c r="C62" s="444">
        <f>+C61*20%</f>
        <v>8400000</v>
      </c>
      <c r="D62" s="357">
        <v>10</v>
      </c>
      <c r="E62" s="247"/>
    </row>
    <row r="63" spans="1:253" ht="12.75">
      <c r="A63" s="359"/>
      <c r="B63" s="257"/>
      <c r="C63" s="262"/>
      <c r="D63" s="358"/>
      <c r="E63" s="247"/>
      <c r="F63" s="255"/>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6"/>
      <c r="AZ63" s="256"/>
      <c r="BA63" s="256"/>
      <c r="BB63" s="256"/>
      <c r="BC63" s="256"/>
      <c r="BD63" s="256"/>
      <c r="BE63" s="256"/>
      <c r="BF63" s="256"/>
      <c r="BG63" s="256"/>
      <c r="BH63" s="256"/>
      <c r="BI63" s="256"/>
      <c r="BJ63" s="256"/>
      <c r="BK63" s="256"/>
      <c r="BL63" s="256"/>
      <c r="BM63" s="256"/>
      <c r="BN63" s="256"/>
      <c r="BO63" s="256"/>
      <c r="BP63" s="256"/>
      <c r="BQ63" s="256"/>
      <c r="BR63" s="256"/>
      <c r="BS63" s="256"/>
      <c r="BT63" s="256"/>
      <c r="BU63" s="256"/>
      <c r="BV63" s="256"/>
      <c r="BW63" s="256"/>
      <c r="BX63" s="256"/>
      <c r="BY63" s="256"/>
      <c r="BZ63" s="256"/>
      <c r="CA63" s="256"/>
      <c r="CB63" s="256"/>
      <c r="CC63" s="256"/>
      <c r="CD63" s="256"/>
      <c r="CE63" s="256"/>
      <c r="CF63" s="256"/>
      <c r="CG63" s="256"/>
      <c r="CH63" s="256"/>
      <c r="CI63" s="256"/>
      <c r="CJ63" s="256"/>
      <c r="CK63" s="256"/>
      <c r="CL63" s="256"/>
      <c r="CM63" s="256"/>
      <c r="CN63" s="256"/>
      <c r="CO63" s="256"/>
      <c r="CP63" s="256"/>
      <c r="CQ63" s="256"/>
      <c r="CR63" s="256"/>
      <c r="CS63" s="256"/>
      <c r="CT63" s="256"/>
      <c r="CU63" s="256"/>
      <c r="CV63" s="256"/>
      <c r="CW63" s="256"/>
      <c r="CX63" s="256"/>
      <c r="CY63" s="256"/>
      <c r="CZ63" s="256"/>
      <c r="DA63" s="256"/>
      <c r="DB63" s="256"/>
      <c r="DC63" s="256"/>
      <c r="DD63" s="256"/>
      <c r="DE63" s="256"/>
      <c r="DF63" s="256"/>
      <c r="DG63" s="256"/>
      <c r="DH63" s="256"/>
      <c r="DI63" s="256"/>
      <c r="DJ63" s="256"/>
      <c r="DK63" s="256"/>
      <c r="DL63" s="256"/>
      <c r="DM63" s="256"/>
      <c r="DN63" s="256"/>
      <c r="DO63" s="256"/>
      <c r="DP63" s="256"/>
      <c r="DQ63" s="256"/>
      <c r="DR63" s="256"/>
      <c r="DS63" s="256"/>
      <c r="DT63" s="256"/>
      <c r="DU63" s="256"/>
      <c r="DV63" s="256"/>
      <c r="DW63" s="256"/>
      <c r="DX63" s="256"/>
      <c r="DY63" s="256"/>
      <c r="DZ63" s="256"/>
      <c r="EA63" s="256"/>
      <c r="EB63" s="256"/>
      <c r="EC63" s="256"/>
      <c r="ED63" s="256"/>
      <c r="EE63" s="256"/>
      <c r="EF63" s="256"/>
      <c r="EG63" s="256"/>
      <c r="EH63" s="256"/>
      <c r="EI63" s="256"/>
      <c r="EJ63" s="256"/>
      <c r="EK63" s="256"/>
      <c r="EL63" s="256"/>
      <c r="EM63" s="256"/>
      <c r="EN63" s="256"/>
      <c r="EO63" s="256"/>
      <c r="EP63" s="256"/>
      <c r="EQ63" s="256"/>
      <c r="ER63" s="256"/>
      <c r="ES63" s="256"/>
      <c r="ET63" s="256"/>
      <c r="EU63" s="256"/>
      <c r="EV63" s="256"/>
      <c r="EW63" s="256"/>
      <c r="EX63" s="256"/>
      <c r="EY63" s="256"/>
      <c r="EZ63" s="256"/>
      <c r="FA63" s="256"/>
      <c r="FB63" s="256"/>
      <c r="FC63" s="256"/>
      <c r="FD63" s="256"/>
      <c r="FE63" s="256"/>
      <c r="FF63" s="256"/>
      <c r="FG63" s="256"/>
      <c r="FH63" s="256"/>
      <c r="FI63" s="256"/>
      <c r="FJ63" s="256"/>
      <c r="FK63" s="256"/>
      <c r="FL63" s="256"/>
      <c r="FM63" s="256"/>
      <c r="FN63" s="256"/>
      <c r="FO63" s="256"/>
      <c r="FP63" s="256"/>
      <c r="FQ63" s="256"/>
      <c r="FR63" s="256"/>
      <c r="FS63" s="256"/>
      <c r="FT63" s="256"/>
      <c r="FU63" s="256"/>
      <c r="FV63" s="256"/>
      <c r="FW63" s="256"/>
      <c r="FX63" s="256"/>
      <c r="FY63" s="256"/>
      <c r="FZ63" s="256"/>
      <c r="GA63" s="256"/>
      <c r="GB63" s="256"/>
      <c r="GC63" s="256"/>
      <c r="GD63" s="256"/>
      <c r="GE63" s="256"/>
      <c r="GF63" s="256"/>
      <c r="GG63" s="256"/>
      <c r="GH63" s="256"/>
      <c r="GI63" s="256"/>
      <c r="GJ63" s="256"/>
      <c r="GK63" s="256"/>
      <c r="GL63" s="256"/>
      <c r="GM63" s="256"/>
      <c r="GN63" s="256"/>
      <c r="GO63" s="256"/>
      <c r="GP63" s="256"/>
      <c r="GQ63" s="256"/>
      <c r="GR63" s="256"/>
      <c r="GS63" s="256"/>
      <c r="GT63" s="256"/>
      <c r="GU63" s="256"/>
      <c r="GV63" s="256"/>
      <c r="GW63" s="256"/>
      <c r="GX63" s="256"/>
      <c r="GY63" s="256"/>
      <c r="GZ63" s="256"/>
      <c r="HA63" s="256"/>
      <c r="HB63" s="256"/>
      <c r="HC63" s="256"/>
      <c r="HD63" s="256"/>
      <c r="HE63" s="256"/>
      <c r="HF63" s="256"/>
      <c r="HG63" s="256"/>
      <c r="HH63" s="256"/>
      <c r="HI63" s="256"/>
      <c r="HJ63" s="256"/>
      <c r="HK63" s="256"/>
      <c r="HL63" s="256"/>
      <c r="HM63" s="256"/>
      <c r="HN63" s="256"/>
      <c r="HO63" s="256"/>
      <c r="HP63" s="256"/>
      <c r="HQ63" s="256"/>
      <c r="HR63" s="256"/>
      <c r="HS63" s="256"/>
      <c r="HT63" s="256"/>
      <c r="HU63" s="256"/>
      <c r="HV63" s="256"/>
      <c r="HW63" s="256"/>
      <c r="HX63" s="256"/>
      <c r="HY63" s="256"/>
      <c r="HZ63" s="256"/>
      <c r="IA63" s="256"/>
      <c r="IB63" s="256"/>
      <c r="IC63" s="256"/>
      <c r="ID63" s="256"/>
      <c r="IE63" s="256"/>
      <c r="IF63" s="256"/>
      <c r="IG63" s="256"/>
      <c r="IH63" s="256"/>
      <c r="II63" s="256"/>
      <c r="IJ63" s="256"/>
      <c r="IK63" s="256"/>
      <c r="IL63" s="256"/>
      <c r="IM63" s="256"/>
      <c r="IN63" s="256"/>
      <c r="IO63" s="256"/>
      <c r="IP63" s="256"/>
      <c r="IQ63" s="256"/>
      <c r="IR63" s="256"/>
      <c r="IS63" s="256"/>
    </row>
    <row r="64" spans="1:5" ht="12.75">
      <c r="A64" s="359" t="s">
        <v>330</v>
      </c>
      <c r="B64" s="463" t="s">
        <v>331</v>
      </c>
      <c r="C64" s="444">
        <f>+C13*7.5%</f>
        <v>12750000</v>
      </c>
      <c r="D64" s="357">
        <v>8</v>
      </c>
      <c r="E64" s="247"/>
    </row>
    <row r="65" spans="1:5" ht="12.75">
      <c r="A65" s="359"/>
      <c r="B65" s="463" t="s">
        <v>332</v>
      </c>
      <c r="C65" s="444">
        <f>+C64*7%</f>
        <v>892500.0000000001</v>
      </c>
      <c r="D65" s="357">
        <v>8</v>
      </c>
      <c r="E65" s="247"/>
    </row>
    <row r="66" spans="1:253" ht="12.75">
      <c r="A66" s="359"/>
      <c r="B66" s="257"/>
      <c r="C66" s="262"/>
      <c r="D66" s="358"/>
      <c r="E66" s="247"/>
      <c r="F66" s="255"/>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c r="BA66" s="256"/>
      <c r="BB66" s="256"/>
      <c r="BC66" s="256"/>
      <c r="BD66" s="256"/>
      <c r="BE66" s="256"/>
      <c r="BF66" s="256"/>
      <c r="BG66" s="256"/>
      <c r="BH66" s="256"/>
      <c r="BI66" s="256"/>
      <c r="BJ66" s="256"/>
      <c r="BK66" s="256"/>
      <c r="BL66" s="256"/>
      <c r="BM66" s="256"/>
      <c r="BN66" s="256"/>
      <c r="BO66" s="256"/>
      <c r="BP66" s="256"/>
      <c r="BQ66" s="256"/>
      <c r="BR66" s="256"/>
      <c r="BS66" s="256"/>
      <c r="BT66" s="256"/>
      <c r="BU66" s="256"/>
      <c r="BV66" s="256"/>
      <c r="BW66" s="256"/>
      <c r="BX66" s="256"/>
      <c r="BY66" s="256"/>
      <c r="BZ66" s="256"/>
      <c r="CA66" s="256"/>
      <c r="CB66" s="256"/>
      <c r="CC66" s="256"/>
      <c r="CD66" s="256"/>
      <c r="CE66" s="256"/>
      <c r="CF66" s="256"/>
      <c r="CG66" s="256"/>
      <c r="CH66" s="256"/>
      <c r="CI66" s="256"/>
      <c r="CJ66" s="256"/>
      <c r="CK66" s="256"/>
      <c r="CL66" s="256"/>
      <c r="CM66" s="256"/>
      <c r="CN66" s="256"/>
      <c r="CO66" s="256"/>
      <c r="CP66" s="256"/>
      <c r="CQ66" s="256"/>
      <c r="CR66" s="256"/>
      <c r="CS66" s="256"/>
      <c r="CT66" s="256"/>
      <c r="CU66" s="256"/>
      <c r="CV66" s="256"/>
      <c r="CW66" s="256"/>
      <c r="CX66" s="256"/>
      <c r="CY66" s="256"/>
      <c r="CZ66" s="256"/>
      <c r="DA66" s="256"/>
      <c r="DB66" s="256"/>
      <c r="DC66" s="256"/>
      <c r="DD66" s="256"/>
      <c r="DE66" s="256"/>
      <c r="DF66" s="256"/>
      <c r="DG66" s="256"/>
      <c r="DH66" s="256"/>
      <c r="DI66" s="256"/>
      <c r="DJ66" s="256"/>
      <c r="DK66" s="256"/>
      <c r="DL66" s="256"/>
      <c r="DM66" s="256"/>
      <c r="DN66" s="256"/>
      <c r="DO66" s="256"/>
      <c r="DP66" s="256"/>
      <c r="DQ66" s="256"/>
      <c r="DR66" s="256"/>
      <c r="DS66" s="256"/>
      <c r="DT66" s="256"/>
      <c r="DU66" s="256"/>
      <c r="DV66" s="256"/>
      <c r="DW66" s="256"/>
      <c r="DX66" s="256"/>
      <c r="DY66" s="256"/>
      <c r="DZ66" s="256"/>
      <c r="EA66" s="256"/>
      <c r="EB66" s="256"/>
      <c r="EC66" s="256"/>
      <c r="ED66" s="256"/>
      <c r="EE66" s="256"/>
      <c r="EF66" s="256"/>
      <c r="EG66" s="256"/>
      <c r="EH66" s="256"/>
      <c r="EI66" s="256"/>
      <c r="EJ66" s="256"/>
      <c r="EK66" s="256"/>
      <c r="EL66" s="256"/>
      <c r="EM66" s="256"/>
      <c r="EN66" s="256"/>
      <c r="EO66" s="256"/>
      <c r="EP66" s="256"/>
      <c r="EQ66" s="256"/>
      <c r="ER66" s="256"/>
      <c r="ES66" s="256"/>
      <c r="ET66" s="256"/>
      <c r="EU66" s="256"/>
      <c r="EV66" s="256"/>
      <c r="EW66" s="256"/>
      <c r="EX66" s="256"/>
      <c r="EY66" s="256"/>
      <c r="EZ66" s="256"/>
      <c r="FA66" s="256"/>
      <c r="FB66" s="256"/>
      <c r="FC66" s="256"/>
      <c r="FD66" s="256"/>
      <c r="FE66" s="256"/>
      <c r="FF66" s="256"/>
      <c r="FG66" s="256"/>
      <c r="FH66" s="256"/>
      <c r="FI66" s="256"/>
      <c r="FJ66" s="256"/>
      <c r="FK66" s="256"/>
      <c r="FL66" s="256"/>
      <c r="FM66" s="256"/>
      <c r="FN66" s="256"/>
      <c r="FO66" s="256"/>
      <c r="FP66" s="256"/>
      <c r="FQ66" s="256"/>
      <c r="FR66" s="256"/>
      <c r="FS66" s="256"/>
      <c r="FT66" s="256"/>
      <c r="FU66" s="256"/>
      <c r="FV66" s="256"/>
      <c r="FW66" s="256"/>
      <c r="FX66" s="256"/>
      <c r="FY66" s="256"/>
      <c r="FZ66" s="256"/>
      <c r="GA66" s="256"/>
      <c r="GB66" s="256"/>
      <c r="GC66" s="256"/>
      <c r="GD66" s="256"/>
      <c r="GE66" s="256"/>
      <c r="GF66" s="256"/>
      <c r="GG66" s="256"/>
      <c r="GH66" s="256"/>
      <c r="GI66" s="256"/>
      <c r="GJ66" s="256"/>
      <c r="GK66" s="256"/>
      <c r="GL66" s="256"/>
      <c r="GM66" s="256"/>
      <c r="GN66" s="256"/>
      <c r="GO66" s="256"/>
      <c r="GP66" s="256"/>
      <c r="GQ66" s="256"/>
      <c r="GR66" s="256"/>
      <c r="GS66" s="256"/>
      <c r="GT66" s="256"/>
      <c r="GU66" s="256"/>
      <c r="GV66" s="256"/>
      <c r="GW66" s="256"/>
      <c r="GX66" s="256"/>
      <c r="GY66" s="256"/>
      <c r="GZ66" s="256"/>
      <c r="HA66" s="256"/>
      <c r="HB66" s="256"/>
      <c r="HC66" s="256"/>
      <c r="HD66" s="256"/>
      <c r="HE66" s="256"/>
      <c r="HF66" s="256"/>
      <c r="HG66" s="256"/>
      <c r="HH66" s="256"/>
      <c r="HI66" s="256"/>
      <c r="HJ66" s="256"/>
      <c r="HK66" s="256"/>
      <c r="HL66" s="256"/>
      <c r="HM66" s="256"/>
      <c r="HN66" s="256"/>
      <c r="HO66" s="256"/>
      <c r="HP66" s="256"/>
      <c r="HQ66" s="256"/>
      <c r="HR66" s="256"/>
      <c r="HS66" s="256"/>
      <c r="HT66" s="256"/>
      <c r="HU66" s="256"/>
      <c r="HV66" s="256"/>
      <c r="HW66" s="256"/>
      <c r="HX66" s="256"/>
      <c r="HY66" s="256"/>
      <c r="HZ66" s="256"/>
      <c r="IA66" s="256"/>
      <c r="IB66" s="256"/>
      <c r="IC66" s="256"/>
      <c r="ID66" s="256"/>
      <c r="IE66" s="256"/>
      <c r="IF66" s="256"/>
      <c r="IG66" s="256"/>
      <c r="IH66" s="256"/>
      <c r="II66" s="256"/>
      <c r="IJ66" s="256"/>
      <c r="IK66" s="256"/>
      <c r="IL66" s="256"/>
      <c r="IM66" s="256"/>
      <c r="IN66" s="256"/>
      <c r="IO66" s="256"/>
      <c r="IP66" s="256"/>
      <c r="IQ66" s="256"/>
      <c r="IR66" s="256"/>
      <c r="IS66" s="256"/>
    </row>
    <row r="67" spans="1:5" ht="12.75">
      <c r="A67" s="359" t="s">
        <v>333</v>
      </c>
      <c r="B67" s="471" t="s">
        <v>334</v>
      </c>
      <c r="C67" s="445">
        <v>24000000</v>
      </c>
      <c r="D67" s="357">
        <v>8</v>
      </c>
      <c r="E67" s="247"/>
    </row>
    <row r="68" spans="1:8" ht="12.75">
      <c r="A68" s="359"/>
      <c r="B68" s="474" t="s">
        <v>387</v>
      </c>
      <c r="C68" s="446">
        <v>5000000</v>
      </c>
      <c r="D68" s="357">
        <v>8</v>
      </c>
      <c r="E68" s="247"/>
      <c r="F68" s="255"/>
      <c r="G68" s="256"/>
      <c r="H68" s="256"/>
    </row>
    <row r="69" spans="1:253" ht="12.75">
      <c r="A69" s="359"/>
      <c r="B69" s="289"/>
      <c r="C69" s="290"/>
      <c r="D69" s="362"/>
      <c r="E69" s="247"/>
      <c r="F69" s="255"/>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c r="BV69" s="256"/>
      <c r="BW69" s="256"/>
      <c r="BX69" s="256"/>
      <c r="BY69" s="256"/>
      <c r="BZ69" s="256"/>
      <c r="CA69" s="256"/>
      <c r="CB69" s="256"/>
      <c r="CC69" s="256"/>
      <c r="CD69" s="256"/>
      <c r="CE69" s="256"/>
      <c r="CF69" s="256"/>
      <c r="CG69" s="256"/>
      <c r="CH69" s="256"/>
      <c r="CI69" s="256"/>
      <c r="CJ69" s="256"/>
      <c r="CK69" s="256"/>
      <c r="CL69" s="256"/>
      <c r="CM69" s="256"/>
      <c r="CN69" s="256"/>
      <c r="CO69" s="256"/>
      <c r="CP69" s="256"/>
      <c r="CQ69" s="256"/>
      <c r="CR69" s="256"/>
      <c r="CS69" s="256"/>
      <c r="CT69" s="256"/>
      <c r="CU69" s="256"/>
      <c r="CV69" s="256"/>
      <c r="CW69" s="256"/>
      <c r="CX69" s="256"/>
      <c r="CY69" s="256"/>
      <c r="CZ69" s="256"/>
      <c r="DA69" s="256"/>
      <c r="DB69" s="256"/>
      <c r="DC69" s="256"/>
      <c r="DD69" s="256"/>
      <c r="DE69" s="256"/>
      <c r="DF69" s="256"/>
      <c r="DG69" s="256"/>
      <c r="DH69" s="256"/>
      <c r="DI69" s="256"/>
      <c r="DJ69" s="256"/>
      <c r="DK69" s="256"/>
      <c r="DL69" s="256"/>
      <c r="DM69" s="256"/>
      <c r="DN69" s="256"/>
      <c r="DO69" s="256"/>
      <c r="DP69" s="256"/>
      <c r="DQ69" s="256"/>
      <c r="DR69" s="256"/>
      <c r="DS69" s="256"/>
      <c r="DT69" s="256"/>
      <c r="DU69" s="256"/>
      <c r="DV69" s="256"/>
      <c r="DW69" s="256"/>
      <c r="DX69" s="256"/>
      <c r="DY69" s="256"/>
      <c r="DZ69" s="256"/>
      <c r="EA69" s="256"/>
      <c r="EB69" s="256"/>
      <c r="EC69" s="256"/>
      <c r="ED69" s="256"/>
      <c r="EE69" s="256"/>
      <c r="EF69" s="256"/>
      <c r="EG69" s="256"/>
      <c r="EH69" s="256"/>
      <c r="EI69" s="256"/>
      <c r="EJ69" s="256"/>
      <c r="EK69" s="256"/>
      <c r="EL69" s="256"/>
      <c r="EM69" s="256"/>
      <c r="EN69" s="256"/>
      <c r="EO69" s="256"/>
      <c r="EP69" s="256"/>
      <c r="EQ69" s="256"/>
      <c r="ER69" s="256"/>
      <c r="ES69" s="256"/>
      <c r="ET69" s="256"/>
      <c r="EU69" s="256"/>
      <c r="EV69" s="256"/>
      <c r="EW69" s="256"/>
      <c r="EX69" s="256"/>
      <c r="EY69" s="256"/>
      <c r="EZ69" s="256"/>
      <c r="FA69" s="256"/>
      <c r="FB69" s="256"/>
      <c r="FC69" s="256"/>
      <c r="FD69" s="256"/>
      <c r="FE69" s="256"/>
      <c r="FF69" s="256"/>
      <c r="FG69" s="256"/>
      <c r="FH69" s="256"/>
      <c r="FI69" s="256"/>
      <c r="FJ69" s="256"/>
      <c r="FK69" s="256"/>
      <c r="FL69" s="256"/>
      <c r="FM69" s="256"/>
      <c r="FN69" s="256"/>
      <c r="FO69" s="256"/>
      <c r="FP69" s="256"/>
      <c r="FQ69" s="256"/>
      <c r="FR69" s="256"/>
      <c r="FS69" s="256"/>
      <c r="FT69" s="256"/>
      <c r="FU69" s="256"/>
      <c r="FV69" s="256"/>
      <c r="FW69" s="256"/>
      <c r="FX69" s="256"/>
      <c r="FY69" s="256"/>
      <c r="FZ69" s="256"/>
      <c r="GA69" s="256"/>
      <c r="GB69" s="256"/>
      <c r="GC69" s="256"/>
      <c r="GD69" s="256"/>
      <c r="GE69" s="256"/>
      <c r="GF69" s="256"/>
      <c r="GG69" s="256"/>
      <c r="GH69" s="256"/>
      <c r="GI69" s="256"/>
      <c r="GJ69" s="256"/>
      <c r="GK69" s="256"/>
      <c r="GL69" s="256"/>
      <c r="GM69" s="256"/>
      <c r="GN69" s="256"/>
      <c r="GO69" s="256"/>
      <c r="GP69" s="256"/>
      <c r="GQ69" s="256"/>
      <c r="GR69" s="256"/>
      <c r="GS69" s="256"/>
      <c r="GT69" s="256"/>
      <c r="GU69" s="256"/>
      <c r="GV69" s="256"/>
      <c r="GW69" s="256"/>
      <c r="GX69" s="256"/>
      <c r="GY69" s="256"/>
      <c r="GZ69" s="256"/>
      <c r="HA69" s="256"/>
      <c r="HB69" s="256"/>
      <c r="HC69" s="256"/>
      <c r="HD69" s="256"/>
      <c r="HE69" s="256"/>
      <c r="HF69" s="256"/>
      <c r="HG69" s="256"/>
      <c r="HH69" s="256"/>
      <c r="HI69" s="256"/>
      <c r="HJ69" s="256"/>
      <c r="HK69" s="256"/>
      <c r="HL69" s="256"/>
      <c r="HM69" s="256"/>
      <c r="HN69" s="256"/>
      <c r="HO69" s="256"/>
      <c r="HP69" s="256"/>
      <c r="HQ69" s="256"/>
      <c r="HR69" s="256"/>
      <c r="HS69" s="256"/>
      <c r="HT69" s="256"/>
      <c r="HU69" s="256"/>
      <c r="HV69" s="256"/>
      <c r="HW69" s="256"/>
      <c r="HX69" s="256"/>
      <c r="HY69" s="256"/>
      <c r="HZ69" s="256"/>
      <c r="IA69" s="256"/>
      <c r="IB69" s="256"/>
      <c r="IC69" s="256"/>
      <c r="ID69" s="256"/>
      <c r="IE69" s="256"/>
      <c r="IF69" s="256"/>
      <c r="IG69" s="256"/>
      <c r="IH69" s="256"/>
      <c r="II69" s="256"/>
      <c r="IJ69" s="256"/>
      <c r="IK69" s="256"/>
      <c r="IL69" s="256"/>
      <c r="IM69" s="256"/>
      <c r="IN69" s="256"/>
      <c r="IO69" s="256"/>
      <c r="IP69" s="256"/>
      <c r="IQ69" s="256"/>
      <c r="IR69" s="256"/>
      <c r="IS69" s="256"/>
    </row>
    <row r="70" spans="1:4" ht="12.75">
      <c r="A70" s="356">
        <v>7</v>
      </c>
      <c r="B70" s="475" t="s">
        <v>167</v>
      </c>
      <c r="C70" s="798"/>
      <c r="D70" s="799"/>
    </row>
    <row r="71" spans="1:253" ht="12.75">
      <c r="A71" s="356"/>
      <c r="B71" s="260"/>
      <c r="C71" s="260"/>
      <c r="D71" s="358"/>
      <c r="E71" s="256"/>
      <c r="F71" s="255"/>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6"/>
      <c r="AM71" s="256"/>
      <c r="AN71" s="256"/>
      <c r="AO71" s="256"/>
      <c r="AP71" s="256"/>
      <c r="AQ71" s="256"/>
      <c r="AR71" s="256"/>
      <c r="AS71" s="256"/>
      <c r="AT71" s="256"/>
      <c r="AU71" s="256"/>
      <c r="AV71" s="256"/>
      <c r="AW71" s="256"/>
      <c r="AX71" s="256"/>
      <c r="AY71" s="256"/>
      <c r="AZ71" s="256"/>
      <c r="BA71" s="256"/>
      <c r="BB71" s="256"/>
      <c r="BC71" s="256"/>
      <c r="BD71" s="256"/>
      <c r="BE71" s="256"/>
      <c r="BF71" s="256"/>
      <c r="BG71" s="256"/>
      <c r="BH71" s="256"/>
      <c r="BI71" s="256"/>
      <c r="BJ71" s="256"/>
      <c r="BK71" s="256"/>
      <c r="BL71" s="256"/>
      <c r="BM71" s="256"/>
      <c r="BN71" s="256"/>
      <c r="BO71" s="256"/>
      <c r="BP71" s="256"/>
      <c r="BQ71" s="256"/>
      <c r="BR71" s="256"/>
      <c r="BS71" s="256"/>
      <c r="BT71" s="256"/>
      <c r="BU71" s="256"/>
      <c r="BV71" s="256"/>
      <c r="BW71" s="256"/>
      <c r="BX71" s="256"/>
      <c r="BY71" s="256"/>
      <c r="BZ71" s="256"/>
      <c r="CA71" s="256"/>
      <c r="CB71" s="256"/>
      <c r="CC71" s="256"/>
      <c r="CD71" s="256"/>
      <c r="CE71" s="256"/>
      <c r="CF71" s="256"/>
      <c r="CG71" s="256"/>
      <c r="CH71" s="256"/>
      <c r="CI71" s="256"/>
      <c r="CJ71" s="256"/>
      <c r="CK71" s="256"/>
      <c r="CL71" s="256"/>
      <c r="CM71" s="256"/>
      <c r="CN71" s="256"/>
      <c r="CO71" s="256"/>
      <c r="CP71" s="256"/>
      <c r="CQ71" s="256"/>
      <c r="CR71" s="256"/>
      <c r="CS71" s="256"/>
      <c r="CT71" s="256"/>
      <c r="CU71" s="256"/>
      <c r="CV71" s="256"/>
      <c r="CW71" s="256"/>
      <c r="CX71" s="256"/>
      <c r="CY71" s="256"/>
      <c r="CZ71" s="256"/>
      <c r="DA71" s="256"/>
      <c r="DB71" s="256"/>
      <c r="DC71" s="256"/>
      <c r="DD71" s="256"/>
      <c r="DE71" s="256"/>
      <c r="DF71" s="256"/>
      <c r="DG71" s="256"/>
      <c r="DH71" s="256"/>
      <c r="DI71" s="256"/>
      <c r="DJ71" s="256"/>
      <c r="DK71" s="256"/>
      <c r="DL71" s="256"/>
      <c r="DM71" s="256"/>
      <c r="DN71" s="256"/>
      <c r="DO71" s="256"/>
      <c r="DP71" s="256"/>
      <c r="DQ71" s="256"/>
      <c r="DR71" s="256"/>
      <c r="DS71" s="256"/>
      <c r="DT71" s="256"/>
      <c r="DU71" s="256"/>
      <c r="DV71" s="256"/>
      <c r="DW71" s="256"/>
      <c r="DX71" s="256"/>
      <c r="DY71" s="256"/>
      <c r="DZ71" s="256"/>
      <c r="EA71" s="256"/>
      <c r="EB71" s="256"/>
      <c r="EC71" s="256"/>
      <c r="ED71" s="256"/>
      <c r="EE71" s="256"/>
      <c r="EF71" s="256"/>
      <c r="EG71" s="256"/>
      <c r="EH71" s="256"/>
      <c r="EI71" s="256"/>
      <c r="EJ71" s="256"/>
      <c r="EK71" s="256"/>
      <c r="EL71" s="256"/>
      <c r="EM71" s="256"/>
      <c r="EN71" s="256"/>
      <c r="EO71" s="256"/>
      <c r="EP71" s="256"/>
      <c r="EQ71" s="256"/>
      <c r="ER71" s="256"/>
      <c r="ES71" s="256"/>
      <c r="ET71" s="256"/>
      <c r="EU71" s="256"/>
      <c r="EV71" s="256"/>
      <c r="EW71" s="256"/>
      <c r="EX71" s="256"/>
      <c r="EY71" s="256"/>
      <c r="EZ71" s="256"/>
      <c r="FA71" s="256"/>
      <c r="FB71" s="256"/>
      <c r="FC71" s="256"/>
      <c r="FD71" s="256"/>
      <c r="FE71" s="256"/>
      <c r="FF71" s="256"/>
      <c r="FG71" s="256"/>
      <c r="FH71" s="256"/>
      <c r="FI71" s="256"/>
      <c r="FJ71" s="256"/>
      <c r="FK71" s="256"/>
      <c r="FL71" s="256"/>
      <c r="FM71" s="256"/>
      <c r="FN71" s="256"/>
      <c r="FO71" s="256"/>
      <c r="FP71" s="256"/>
      <c r="FQ71" s="256"/>
      <c r="FR71" s="256"/>
      <c r="FS71" s="256"/>
      <c r="FT71" s="256"/>
      <c r="FU71" s="256"/>
      <c r="FV71" s="256"/>
      <c r="FW71" s="256"/>
      <c r="FX71" s="256"/>
      <c r="FY71" s="256"/>
      <c r="FZ71" s="256"/>
      <c r="GA71" s="256"/>
      <c r="GB71" s="256"/>
      <c r="GC71" s="256"/>
      <c r="GD71" s="256"/>
      <c r="GE71" s="256"/>
      <c r="GF71" s="256"/>
      <c r="GG71" s="256"/>
      <c r="GH71" s="256"/>
      <c r="GI71" s="256"/>
      <c r="GJ71" s="256"/>
      <c r="GK71" s="256"/>
      <c r="GL71" s="256"/>
      <c r="GM71" s="256"/>
      <c r="GN71" s="256"/>
      <c r="GO71" s="256"/>
      <c r="GP71" s="256"/>
      <c r="GQ71" s="256"/>
      <c r="GR71" s="256"/>
      <c r="GS71" s="256"/>
      <c r="GT71" s="256"/>
      <c r="GU71" s="256"/>
      <c r="GV71" s="256"/>
      <c r="GW71" s="256"/>
      <c r="GX71" s="256"/>
      <c r="GY71" s="256"/>
      <c r="GZ71" s="256"/>
      <c r="HA71" s="256"/>
      <c r="HB71" s="256"/>
      <c r="HC71" s="256"/>
      <c r="HD71" s="256"/>
      <c r="HE71" s="256"/>
      <c r="HF71" s="256"/>
      <c r="HG71" s="256"/>
      <c r="HH71" s="256"/>
      <c r="HI71" s="256"/>
      <c r="HJ71" s="256"/>
      <c r="HK71" s="256"/>
      <c r="HL71" s="256"/>
      <c r="HM71" s="256"/>
      <c r="HN71" s="256"/>
      <c r="HO71" s="256"/>
      <c r="HP71" s="256"/>
      <c r="HQ71" s="256"/>
      <c r="HR71" s="256"/>
      <c r="HS71" s="256"/>
      <c r="HT71" s="256"/>
      <c r="HU71" s="256"/>
      <c r="HV71" s="256"/>
      <c r="HW71" s="256"/>
      <c r="HX71" s="256"/>
      <c r="HY71" s="256"/>
      <c r="HZ71" s="256"/>
      <c r="IA71" s="256"/>
      <c r="IB71" s="256"/>
      <c r="IC71" s="256"/>
      <c r="ID71" s="256"/>
      <c r="IE71" s="256"/>
      <c r="IF71" s="256"/>
      <c r="IG71" s="256"/>
      <c r="IH71" s="256"/>
      <c r="II71" s="256"/>
      <c r="IJ71" s="256"/>
      <c r="IK71" s="256"/>
      <c r="IL71" s="256"/>
      <c r="IM71" s="256"/>
      <c r="IN71" s="256"/>
      <c r="IO71" s="256"/>
      <c r="IP71" s="256"/>
      <c r="IQ71" s="256"/>
      <c r="IR71" s="256"/>
      <c r="IS71" s="256"/>
    </row>
    <row r="72" spans="1:4" ht="12.75">
      <c r="A72" s="356" t="s">
        <v>335</v>
      </c>
      <c r="B72" s="463" t="s">
        <v>336</v>
      </c>
      <c r="C72" s="248"/>
      <c r="D72" s="357"/>
    </row>
    <row r="73" spans="1:4" ht="12.75">
      <c r="A73" s="356" t="s">
        <v>337</v>
      </c>
      <c r="B73" s="473" t="s">
        <v>436</v>
      </c>
      <c r="C73" s="444">
        <v>8000000</v>
      </c>
      <c r="D73" s="357">
        <v>6</v>
      </c>
    </row>
    <row r="74" spans="1:4" ht="68.25" customHeight="1">
      <c r="A74" s="359" t="s">
        <v>337</v>
      </c>
      <c r="B74" s="472" t="s">
        <v>437</v>
      </c>
      <c r="C74" s="437">
        <v>520000000</v>
      </c>
      <c r="D74" s="363" t="s">
        <v>496</v>
      </c>
    </row>
    <row r="75" spans="1:4" ht="39.75" customHeight="1">
      <c r="A75" s="359" t="s">
        <v>338</v>
      </c>
      <c r="B75" s="472" t="s">
        <v>438</v>
      </c>
      <c r="C75" s="437">
        <v>100000000</v>
      </c>
      <c r="D75" s="363" t="s">
        <v>410</v>
      </c>
    </row>
    <row r="76" spans="1:4" ht="27" customHeight="1">
      <c r="A76" s="359" t="s">
        <v>339</v>
      </c>
      <c r="B76" s="467" t="s">
        <v>340</v>
      </c>
      <c r="C76" s="437">
        <v>50000000</v>
      </c>
      <c r="D76" s="363" t="s">
        <v>410</v>
      </c>
    </row>
    <row r="77" spans="1:4" ht="12.75">
      <c r="A77" s="356" t="s">
        <v>341</v>
      </c>
      <c r="B77" s="463" t="s">
        <v>342</v>
      </c>
      <c r="C77" s="448">
        <v>48000000</v>
      </c>
      <c r="D77" s="364" t="s">
        <v>410</v>
      </c>
    </row>
    <row r="78" spans="1:4" ht="12.75">
      <c r="A78" s="356" t="s">
        <v>343</v>
      </c>
      <c r="B78" s="463" t="s">
        <v>369</v>
      </c>
      <c r="C78" s="444">
        <v>3858000</v>
      </c>
      <c r="D78" s="364" t="s">
        <v>490</v>
      </c>
    </row>
    <row r="79" spans="1:4" ht="12.75">
      <c r="A79" s="356" t="s">
        <v>344</v>
      </c>
      <c r="B79" s="463" t="s">
        <v>439</v>
      </c>
      <c r="C79" s="444">
        <v>1200000</v>
      </c>
      <c r="D79" s="364" t="s">
        <v>169</v>
      </c>
    </row>
    <row r="80" spans="1:4" ht="12.75">
      <c r="A80" s="356" t="s">
        <v>345</v>
      </c>
      <c r="B80" s="463" t="s">
        <v>440</v>
      </c>
      <c r="C80" s="444">
        <v>2850000</v>
      </c>
      <c r="D80" s="364" t="s">
        <v>490</v>
      </c>
    </row>
    <row r="81" spans="1:4" ht="12.75">
      <c r="A81" s="356" t="s">
        <v>346</v>
      </c>
      <c r="B81" s="463" t="s">
        <v>441</v>
      </c>
      <c r="C81" s="444">
        <f>300000000*1%</f>
        <v>3000000</v>
      </c>
      <c r="D81" s="364" t="s">
        <v>410</v>
      </c>
    </row>
    <row r="82" spans="1:4" ht="12.75">
      <c r="A82" s="356" t="s">
        <v>347</v>
      </c>
      <c r="B82" s="463" t="s">
        <v>348</v>
      </c>
      <c r="C82" s="444">
        <v>1002000000</v>
      </c>
      <c r="D82" s="364"/>
    </row>
    <row r="83" spans="1:4" ht="12.75">
      <c r="A83" s="356" t="s">
        <v>349</v>
      </c>
      <c r="B83" s="463" t="s">
        <v>442</v>
      </c>
      <c r="C83" s="444">
        <f>+C10</f>
        <v>11339200</v>
      </c>
      <c r="D83" s="364"/>
    </row>
    <row r="84" spans="1:253" ht="12.75">
      <c r="A84" s="356"/>
      <c r="B84" s="257"/>
      <c r="C84" s="262"/>
      <c r="D84" s="365"/>
      <c r="E84" s="256"/>
      <c r="F84" s="255"/>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256"/>
      <c r="AT84" s="256"/>
      <c r="AU84" s="256"/>
      <c r="AV84" s="256"/>
      <c r="AW84" s="256"/>
      <c r="AX84" s="256"/>
      <c r="AY84" s="256"/>
      <c r="AZ84" s="256"/>
      <c r="BA84" s="256"/>
      <c r="BB84" s="256"/>
      <c r="BC84" s="256"/>
      <c r="BD84" s="256"/>
      <c r="BE84" s="256"/>
      <c r="BF84" s="256"/>
      <c r="BG84" s="256"/>
      <c r="BH84" s="256"/>
      <c r="BI84" s="256"/>
      <c r="BJ84" s="256"/>
      <c r="BK84" s="256"/>
      <c r="BL84" s="256"/>
      <c r="BM84" s="256"/>
      <c r="BN84" s="256"/>
      <c r="BO84" s="256"/>
      <c r="BP84" s="256"/>
      <c r="BQ84" s="256"/>
      <c r="BR84" s="256"/>
      <c r="BS84" s="256"/>
      <c r="BT84" s="256"/>
      <c r="BU84" s="256"/>
      <c r="BV84" s="256"/>
      <c r="BW84" s="256"/>
      <c r="BX84" s="256"/>
      <c r="BY84" s="256"/>
      <c r="BZ84" s="256"/>
      <c r="CA84" s="256"/>
      <c r="CB84" s="256"/>
      <c r="CC84" s="256"/>
      <c r="CD84" s="256"/>
      <c r="CE84" s="256"/>
      <c r="CF84" s="256"/>
      <c r="CG84" s="256"/>
      <c r="CH84" s="256"/>
      <c r="CI84" s="256"/>
      <c r="CJ84" s="256"/>
      <c r="CK84" s="256"/>
      <c r="CL84" s="256"/>
      <c r="CM84" s="256"/>
      <c r="CN84" s="256"/>
      <c r="CO84" s="256"/>
      <c r="CP84" s="256"/>
      <c r="CQ84" s="256"/>
      <c r="CR84" s="256"/>
      <c r="CS84" s="256"/>
      <c r="CT84" s="256"/>
      <c r="CU84" s="256"/>
      <c r="CV84" s="256"/>
      <c r="CW84" s="256"/>
      <c r="CX84" s="256"/>
      <c r="CY84" s="256"/>
      <c r="CZ84" s="256"/>
      <c r="DA84" s="256"/>
      <c r="DB84" s="256"/>
      <c r="DC84" s="256"/>
      <c r="DD84" s="256"/>
      <c r="DE84" s="256"/>
      <c r="DF84" s="256"/>
      <c r="DG84" s="256"/>
      <c r="DH84" s="256"/>
      <c r="DI84" s="256"/>
      <c r="DJ84" s="256"/>
      <c r="DK84" s="256"/>
      <c r="DL84" s="256"/>
      <c r="DM84" s="256"/>
      <c r="DN84" s="256"/>
      <c r="DO84" s="256"/>
      <c r="DP84" s="256"/>
      <c r="DQ84" s="256"/>
      <c r="DR84" s="256"/>
      <c r="DS84" s="256"/>
      <c r="DT84" s="256"/>
      <c r="DU84" s="256"/>
      <c r="DV84" s="256"/>
      <c r="DW84" s="256"/>
      <c r="DX84" s="256"/>
      <c r="DY84" s="256"/>
      <c r="DZ84" s="256"/>
      <c r="EA84" s="256"/>
      <c r="EB84" s="256"/>
      <c r="EC84" s="256"/>
      <c r="ED84" s="256"/>
      <c r="EE84" s="256"/>
      <c r="EF84" s="256"/>
      <c r="EG84" s="256"/>
      <c r="EH84" s="256"/>
      <c r="EI84" s="256"/>
      <c r="EJ84" s="256"/>
      <c r="EK84" s="256"/>
      <c r="EL84" s="256"/>
      <c r="EM84" s="256"/>
      <c r="EN84" s="256"/>
      <c r="EO84" s="256"/>
      <c r="EP84" s="256"/>
      <c r="EQ84" s="256"/>
      <c r="ER84" s="256"/>
      <c r="ES84" s="256"/>
      <c r="ET84" s="256"/>
      <c r="EU84" s="256"/>
      <c r="EV84" s="256"/>
      <c r="EW84" s="256"/>
      <c r="EX84" s="256"/>
      <c r="EY84" s="256"/>
      <c r="EZ84" s="256"/>
      <c r="FA84" s="256"/>
      <c r="FB84" s="256"/>
      <c r="FC84" s="256"/>
      <c r="FD84" s="256"/>
      <c r="FE84" s="256"/>
      <c r="FF84" s="256"/>
      <c r="FG84" s="256"/>
      <c r="FH84" s="256"/>
      <c r="FI84" s="256"/>
      <c r="FJ84" s="256"/>
      <c r="FK84" s="256"/>
      <c r="FL84" s="256"/>
      <c r="FM84" s="256"/>
      <c r="FN84" s="256"/>
      <c r="FO84" s="256"/>
      <c r="FP84" s="256"/>
      <c r="FQ84" s="256"/>
      <c r="FR84" s="256"/>
      <c r="FS84" s="256"/>
      <c r="FT84" s="256"/>
      <c r="FU84" s="256"/>
      <c r="FV84" s="256"/>
      <c r="FW84" s="256"/>
      <c r="FX84" s="256"/>
      <c r="FY84" s="256"/>
      <c r="FZ84" s="256"/>
      <c r="GA84" s="256"/>
      <c r="GB84" s="256"/>
      <c r="GC84" s="256"/>
      <c r="GD84" s="256"/>
      <c r="GE84" s="256"/>
      <c r="GF84" s="256"/>
      <c r="GG84" s="256"/>
      <c r="GH84" s="256"/>
      <c r="GI84" s="256"/>
      <c r="GJ84" s="256"/>
      <c r="GK84" s="256"/>
      <c r="GL84" s="256"/>
      <c r="GM84" s="256"/>
      <c r="GN84" s="256"/>
      <c r="GO84" s="256"/>
      <c r="GP84" s="256"/>
      <c r="GQ84" s="256"/>
      <c r="GR84" s="256"/>
      <c r="GS84" s="256"/>
      <c r="GT84" s="256"/>
      <c r="GU84" s="256"/>
      <c r="GV84" s="256"/>
      <c r="GW84" s="256"/>
      <c r="GX84" s="256"/>
      <c r="GY84" s="256"/>
      <c r="GZ84" s="256"/>
      <c r="HA84" s="256"/>
      <c r="HB84" s="256"/>
      <c r="HC84" s="256"/>
      <c r="HD84" s="256"/>
      <c r="HE84" s="256"/>
      <c r="HF84" s="256"/>
      <c r="HG84" s="256"/>
      <c r="HH84" s="256"/>
      <c r="HI84" s="256"/>
      <c r="HJ84" s="256"/>
      <c r="HK84" s="256"/>
      <c r="HL84" s="256"/>
      <c r="HM84" s="256"/>
      <c r="HN84" s="256"/>
      <c r="HO84" s="256"/>
      <c r="HP84" s="256"/>
      <c r="HQ84" s="256"/>
      <c r="HR84" s="256"/>
      <c r="HS84" s="256"/>
      <c r="HT84" s="256"/>
      <c r="HU84" s="256"/>
      <c r="HV84" s="256"/>
      <c r="HW84" s="256"/>
      <c r="HX84" s="256"/>
      <c r="HY84" s="256"/>
      <c r="HZ84" s="256"/>
      <c r="IA84" s="256"/>
      <c r="IB84" s="256"/>
      <c r="IC84" s="256"/>
      <c r="ID84" s="256"/>
      <c r="IE84" s="256"/>
      <c r="IF84" s="256"/>
      <c r="IG84" s="256"/>
      <c r="IH84" s="256"/>
      <c r="II84" s="256"/>
      <c r="IJ84" s="256"/>
      <c r="IK84" s="256"/>
      <c r="IL84" s="256"/>
      <c r="IM84" s="256"/>
      <c r="IN84" s="256"/>
      <c r="IO84" s="256"/>
      <c r="IP84" s="256"/>
      <c r="IQ84" s="256"/>
      <c r="IR84" s="256"/>
      <c r="IS84" s="256"/>
    </row>
    <row r="85" spans="1:4" ht="25.5" customHeight="1">
      <c r="A85" s="359">
        <v>8</v>
      </c>
      <c r="B85" s="470" t="s">
        <v>489</v>
      </c>
      <c r="C85" s="796"/>
      <c r="D85" s="797"/>
    </row>
    <row r="86" spans="1:253" ht="12.75">
      <c r="A86" s="356"/>
      <c r="B86" s="788"/>
      <c r="C86" s="788"/>
      <c r="D86" s="365"/>
      <c r="E86" s="256"/>
      <c r="F86" s="255"/>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256"/>
      <c r="AM86" s="256"/>
      <c r="AN86" s="256"/>
      <c r="AO86" s="256"/>
      <c r="AP86" s="256"/>
      <c r="AQ86" s="256"/>
      <c r="AR86" s="256"/>
      <c r="AS86" s="256"/>
      <c r="AT86" s="256"/>
      <c r="AU86" s="256"/>
      <c r="AV86" s="256"/>
      <c r="AW86" s="256"/>
      <c r="AX86" s="256"/>
      <c r="AY86" s="256"/>
      <c r="AZ86" s="256"/>
      <c r="BA86" s="256"/>
      <c r="BB86" s="256"/>
      <c r="BC86" s="256"/>
      <c r="BD86" s="256"/>
      <c r="BE86" s="256"/>
      <c r="BF86" s="256"/>
      <c r="BG86" s="256"/>
      <c r="BH86" s="256"/>
      <c r="BI86" s="256"/>
      <c r="BJ86" s="256"/>
      <c r="BK86" s="256"/>
      <c r="BL86" s="256"/>
      <c r="BM86" s="256"/>
      <c r="BN86" s="256"/>
      <c r="BO86" s="256"/>
      <c r="BP86" s="256"/>
      <c r="BQ86" s="256"/>
      <c r="BR86" s="256"/>
      <c r="BS86" s="256"/>
      <c r="BT86" s="256"/>
      <c r="BU86" s="256"/>
      <c r="BV86" s="256"/>
      <c r="BW86" s="256"/>
      <c r="BX86" s="256"/>
      <c r="BY86" s="256"/>
      <c r="BZ86" s="256"/>
      <c r="CA86" s="256"/>
      <c r="CB86" s="256"/>
      <c r="CC86" s="256"/>
      <c r="CD86" s="256"/>
      <c r="CE86" s="256"/>
      <c r="CF86" s="256"/>
      <c r="CG86" s="256"/>
      <c r="CH86" s="256"/>
      <c r="CI86" s="256"/>
      <c r="CJ86" s="256"/>
      <c r="CK86" s="256"/>
      <c r="CL86" s="256"/>
      <c r="CM86" s="256"/>
      <c r="CN86" s="256"/>
      <c r="CO86" s="256"/>
      <c r="CP86" s="256"/>
      <c r="CQ86" s="256"/>
      <c r="CR86" s="256"/>
      <c r="CS86" s="256"/>
      <c r="CT86" s="256"/>
      <c r="CU86" s="256"/>
      <c r="CV86" s="256"/>
      <c r="CW86" s="256"/>
      <c r="CX86" s="256"/>
      <c r="CY86" s="256"/>
      <c r="CZ86" s="256"/>
      <c r="DA86" s="256"/>
      <c r="DB86" s="256"/>
      <c r="DC86" s="256"/>
      <c r="DD86" s="256"/>
      <c r="DE86" s="256"/>
      <c r="DF86" s="256"/>
      <c r="DG86" s="256"/>
      <c r="DH86" s="256"/>
      <c r="DI86" s="256"/>
      <c r="DJ86" s="256"/>
      <c r="DK86" s="256"/>
      <c r="DL86" s="256"/>
      <c r="DM86" s="256"/>
      <c r="DN86" s="256"/>
      <c r="DO86" s="256"/>
      <c r="DP86" s="256"/>
      <c r="DQ86" s="256"/>
      <c r="DR86" s="256"/>
      <c r="DS86" s="256"/>
      <c r="DT86" s="256"/>
      <c r="DU86" s="256"/>
      <c r="DV86" s="256"/>
      <c r="DW86" s="256"/>
      <c r="DX86" s="256"/>
      <c r="DY86" s="256"/>
      <c r="DZ86" s="256"/>
      <c r="EA86" s="256"/>
      <c r="EB86" s="256"/>
      <c r="EC86" s="256"/>
      <c r="ED86" s="256"/>
      <c r="EE86" s="256"/>
      <c r="EF86" s="256"/>
      <c r="EG86" s="256"/>
      <c r="EH86" s="256"/>
      <c r="EI86" s="256"/>
      <c r="EJ86" s="256"/>
      <c r="EK86" s="256"/>
      <c r="EL86" s="256"/>
      <c r="EM86" s="256"/>
      <c r="EN86" s="256"/>
      <c r="EO86" s="256"/>
      <c r="EP86" s="256"/>
      <c r="EQ86" s="256"/>
      <c r="ER86" s="256"/>
      <c r="ES86" s="256"/>
      <c r="ET86" s="256"/>
      <c r="EU86" s="256"/>
      <c r="EV86" s="256"/>
      <c r="EW86" s="256"/>
      <c r="EX86" s="256"/>
      <c r="EY86" s="256"/>
      <c r="EZ86" s="256"/>
      <c r="FA86" s="256"/>
      <c r="FB86" s="256"/>
      <c r="FC86" s="256"/>
      <c r="FD86" s="256"/>
      <c r="FE86" s="256"/>
      <c r="FF86" s="256"/>
      <c r="FG86" s="256"/>
      <c r="FH86" s="256"/>
      <c r="FI86" s="256"/>
      <c r="FJ86" s="256"/>
      <c r="FK86" s="256"/>
      <c r="FL86" s="256"/>
      <c r="FM86" s="256"/>
      <c r="FN86" s="256"/>
      <c r="FO86" s="256"/>
      <c r="FP86" s="256"/>
      <c r="FQ86" s="256"/>
      <c r="FR86" s="256"/>
      <c r="FS86" s="256"/>
      <c r="FT86" s="256"/>
      <c r="FU86" s="256"/>
      <c r="FV86" s="256"/>
      <c r="FW86" s="256"/>
      <c r="FX86" s="256"/>
      <c r="FY86" s="256"/>
      <c r="FZ86" s="256"/>
      <c r="GA86" s="256"/>
      <c r="GB86" s="256"/>
      <c r="GC86" s="256"/>
      <c r="GD86" s="256"/>
      <c r="GE86" s="256"/>
      <c r="GF86" s="256"/>
      <c r="GG86" s="256"/>
      <c r="GH86" s="256"/>
      <c r="GI86" s="256"/>
      <c r="GJ86" s="256"/>
      <c r="GK86" s="256"/>
      <c r="GL86" s="256"/>
      <c r="GM86" s="256"/>
      <c r="GN86" s="256"/>
      <c r="GO86" s="256"/>
      <c r="GP86" s="256"/>
      <c r="GQ86" s="256"/>
      <c r="GR86" s="256"/>
      <c r="GS86" s="256"/>
      <c r="GT86" s="256"/>
      <c r="GU86" s="256"/>
      <c r="GV86" s="256"/>
      <c r="GW86" s="256"/>
      <c r="GX86" s="256"/>
      <c r="GY86" s="256"/>
      <c r="GZ86" s="256"/>
      <c r="HA86" s="256"/>
      <c r="HB86" s="256"/>
      <c r="HC86" s="256"/>
      <c r="HD86" s="256"/>
      <c r="HE86" s="256"/>
      <c r="HF86" s="256"/>
      <c r="HG86" s="256"/>
      <c r="HH86" s="256"/>
      <c r="HI86" s="256"/>
      <c r="HJ86" s="256"/>
      <c r="HK86" s="256"/>
      <c r="HL86" s="256"/>
      <c r="HM86" s="256"/>
      <c r="HN86" s="256"/>
      <c r="HO86" s="256"/>
      <c r="HP86" s="256"/>
      <c r="HQ86" s="256"/>
      <c r="HR86" s="256"/>
      <c r="HS86" s="256"/>
      <c r="HT86" s="256"/>
      <c r="HU86" s="256"/>
      <c r="HV86" s="256"/>
      <c r="HW86" s="256"/>
      <c r="HX86" s="256"/>
      <c r="HY86" s="256"/>
      <c r="HZ86" s="256"/>
      <c r="IA86" s="256"/>
      <c r="IB86" s="256"/>
      <c r="IC86" s="256"/>
      <c r="ID86" s="256"/>
      <c r="IE86" s="256"/>
      <c r="IF86" s="256"/>
      <c r="IG86" s="256"/>
      <c r="IH86" s="256"/>
      <c r="II86" s="256"/>
      <c r="IJ86" s="256"/>
      <c r="IK86" s="256"/>
      <c r="IL86" s="256"/>
      <c r="IM86" s="256"/>
      <c r="IN86" s="256"/>
      <c r="IO86" s="256"/>
      <c r="IP86" s="256"/>
      <c r="IQ86" s="256"/>
      <c r="IR86" s="256"/>
      <c r="IS86" s="256"/>
    </row>
    <row r="87" spans="1:4" ht="12.75">
      <c r="A87" s="356"/>
      <c r="B87" s="463" t="s">
        <v>168</v>
      </c>
      <c r="C87" s="444">
        <v>28000000</v>
      </c>
      <c r="D87" s="364" t="s">
        <v>488</v>
      </c>
    </row>
    <row r="88" spans="1:253" ht="12.75">
      <c r="A88" s="356"/>
      <c r="B88" s="789"/>
      <c r="C88" s="789"/>
      <c r="D88" s="365"/>
      <c r="E88" s="256"/>
      <c r="F88" s="255"/>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c r="AM88" s="256"/>
      <c r="AN88" s="256"/>
      <c r="AO88" s="256"/>
      <c r="AP88" s="256"/>
      <c r="AQ88" s="256"/>
      <c r="AR88" s="256"/>
      <c r="AS88" s="256"/>
      <c r="AT88" s="256"/>
      <c r="AU88" s="256"/>
      <c r="AV88" s="256"/>
      <c r="AW88" s="256"/>
      <c r="AX88" s="256"/>
      <c r="AY88" s="256"/>
      <c r="AZ88" s="256"/>
      <c r="BA88" s="256"/>
      <c r="BB88" s="256"/>
      <c r="BC88" s="256"/>
      <c r="BD88" s="256"/>
      <c r="BE88" s="256"/>
      <c r="BF88" s="256"/>
      <c r="BG88" s="256"/>
      <c r="BH88" s="256"/>
      <c r="BI88" s="256"/>
      <c r="BJ88" s="256"/>
      <c r="BK88" s="256"/>
      <c r="BL88" s="256"/>
      <c r="BM88" s="256"/>
      <c r="BN88" s="256"/>
      <c r="BO88" s="256"/>
      <c r="BP88" s="256"/>
      <c r="BQ88" s="256"/>
      <c r="BR88" s="256"/>
      <c r="BS88" s="256"/>
      <c r="BT88" s="256"/>
      <c r="BU88" s="256"/>
      <c r="BV88" s="256"/>
      <c r="BW88" s="256"/>
      <c r="BX88" s="256"/>
      <c r="BY88" s="256"/>
      <c r="BZ88" s="256"/>
      <c r="CA88" s="256"/>
      <c r="CB88" s="256"/>
      <c r="CC88" s="256"/>
      <c r="CD88" s="256"/>
      <c r="CE88" s="256"/>
      <c r="CF88" s="256"/>
      <c r="CG88" s="256"/>
      <c r="CH88" s="256"/>
      <c r="CI88" s="256"/>
      <c r="CJ88" s="256"/>
      <c r="CK88" s="256"/>
      <c r="CL88" s="256"/>
      <c r="CM88" s="256"/>
      <c r="CN88" s="256"/>
      <c r="CO88" s="256"/>
      <c r="CP88" s="256"/>
      <c r="CQ88" s="256"/>
      <c r="CR88" s="256"/>
      <c r="CS88" s="256"/>
      <c r="CT88" s="256"/>
      <c r="CU88" s="256"/>
      <c r="CV88" s="256"/>
      <c r="CW88" s="256"/>
      <c r="CX88" s="256"/>
      <c r="CY88" s="256"/>
      <c r="CZ88" s="256"/>
      <c r="DA88" s="256"/>
      <c r="DB88" s="256"/>
      <c r="DC88" s="256"/>
      <c r="DD88" s="256"/>
      <c r="DE88" s="256"/>
      <c r="DF88" s="256"/>
      <c r="DG88" s="256"/>
      <c r="DH88" s="256"/>
      <c r="DI88" s="256"/>
      <c r="DJ88" s="256"/>
      <c r="DK88" s="256"/>
      <c r="DL88" s="256"/>
      <c r="DM88" s="256"/>
      <c r="DN88" s="256"/>
      <c r="DO88" s="256"/>
      <c r="DP88" s="256"/>
      <c r="DQ88" s="256"/>
      <c r="DR88" s="256"/>
      <c r="DS88" s="256"/>
      <c r="DT88" s="256"/>
      <c r="DU88" s="256"/>
      <c r="DV88" s="256"/>
      <c r="DW88" s="256"/>
      <c r="DX88" s="256"/>
      <c r="DY88" s="256"/>
      <c r="DZ88" s="256"/>
      <c r="EA88" s="256"/>
      <c r="EB88" s="256"/>
      <c r="EC88" s="256"/>
      <c r="ED88" s="256"/>
      <c r="EE88" s="256"/>
      <c r="EF88" s="256"/>
      <c r="EG88" s="256"/>
      <c r="EH88" s="256"/>
      <c r="EI88" s="256"/>
      <c r="EJ88" s="256"/>
      <c r="EK88" s="256"/>
      <c r="EL88" s="256"/>
      <c r="EM88" s="256"/>
      <c r="EN88" s="256"/>
      <c r="EO88" s="256"/>
      <c r="EP88" s="256"/>
      <c r="EQ88" s="256"/>
      <c r="ER88" s="256"/>
      <c r="ES88" s="256"/>
      <c r="ET88" s="256"/>
      <c r="EU88" s="256"/>
      <c r="EV88" s="256"/>
      <c r="EW88" s="256"/>
      <c r="EX88" s="256"/>
      <c r="EY88" s="256"/>
      <c r="EZ88" s="256"/>
      <c r="FA88" s="256"/>
      <c r="FB88" s="256"/>
      <c r="FC88" s="256"/>
      <c r="FD88" s="256"/>
      <c r="FE88" s="256"/>
      <c r="FF88" s="256"/>
      <c r="FG88" s="256"/>
      <c r="FH88" s="256"/>
      <c r="FI88" s="256"/>
      <c r="FJ88" s="256"/>
      <c r="FK88" s="256"/>
      <c r="FL88" s="256"/>
      <c r="FM88" s="256"/>
      <c r="FN88" s="256"/>
      <c r="FO88" s="256"/>
      <c r="FP88" s="256"/>
      <c r="FQ88" s="256"/>
      <c r="FR88" s="256"/>
      <c r="FS88" s="256"/>
      <c r="FT88" s="256"/>
      <c r="FU88" s="256"/>
      <c r="FV88" s="256"/>
      <c r="FW88" s="256"/>
      <c r="FX88" s="256"/>
      <c r="FY88" s="256"/>
      <c r="FZ88" s="256"/>
      <c r="GA88" s="256"/>
      <c r="GB88" s="256"/>
      <c r="GC88" s="256"/>
      <c r="GD88" s="256"/>
      <c r="GE88" s="256"/>
      <c r="GF88" s="256"/>
      <c r="GG88" s="256"/>
      <c r="GH88" s="256"/>
      <c r="GI88" s="256"/>
      <c r="GJ88" s="256"/>
      <c r="GK88" s="256"/>
      <c r="GL88" s="256"/>
      <c r="GM88" s="256"/>
      <c r="GN88" s="256"/>
      <c r="GO88" s="256"/>
      <c r="GP88" s="256"/>
      <c r="GQ88" s="256"/>
      <c r="GR88" s="256"/>
      <c r="GS88" s="256"/>
      <c r="GT88" s="256"/>
      <c r="GU88" s="256"/>
      <c r="GV88" s="256"/>
      <c r="GW88" s="256"/>
      <c r="GX88" s="256"/>
      <c r="GY88" s="256"/>
      <c r="GZ88" s="256"/>
      <c r="HA88" s="256"/>
      <c r="HB88" s="256"/>
      <c r="HC88" s="256"/>
      <c r="HD88" s="256"/>
      <c r="HE88" s="256"/>
      <c r="HF88" s="256"/>
      <c r="HG88" s="256"/>
      <c r="HH88" s="256"/>
      <c r="HI88" s="256"/>
      <c r="HJ88" s="256"/>
      <c r="HK88" s="256"/>
      <c r="HL88" s="256"/>
      <c r="HM88" s="256"/>
      <c r="HN88" s="256"/>
      <c r="HO88" s="256"/>
      <c r="HP88" s="256"/>
      <c r="HQ88" s="256"/>
      <c r="HR88" s="256"/>
      <c r="HS88" s="256"/>
      <c r="HT88" s="256"/>
      <c r="HU88" s="256"/>
      <c r="HV88" s="256"/>
      <c r="HW88" s="256"/>
      <c r="HX88" s="256"/>
      <c r="HY88" s="256"/>
      <c r="HZ88" s="256"/>
      <c r="IA88" s="256"/>
      <c r="IB88" s="256"/>
      <c r="IC88" s="256"/>
      <c r="ID88" s="256"/>
      <c r="IE88" s="256"/>
      <c r="IF88" s="256"/>
      <c r="IG88" s="256"/>
      <c r="IH88" s="256"/>
      <c r="II88" s="256"/>
      <c r="IJ88" s="256"/>
      <c r="IK88" s="256"/>
      <c r="IL88" s="256"/>
      <c r="IM88" s="256"/>
      <c r="IN88" s="256"/>
      <c r="IO88" s="256"/>
      <c r="IP88" s="256"/>
      <c r="IQ88" s="256"/>
      <c r="IR88" s="256"/>
      <c r="IS88" s="256"/>
    </row>
    <row r="89" spans="1:4" ht="12.75">
      <c r="A89" s="356"/>
      <c r="B89" s="463" t="s">
        <v>350</v>
      </c>
      <c r="C89" s="448">
        <v>1625000000</v>
      </c>
      <c r="D89" s="364" t="s">
        <v>488</v>
      </c>
    </row>
    <row r="90" spans="1:253" ht="12.75">
      <c r="A90" s="356"/>
      <c r="B90" s="790"/>
      <c r="C90" s="790"/>
      <c r="D90" s="365"/>
      <c r="E90" s="256"/>
      <c r="F90" s="255"/>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6"/>
      <c r="AZ90" s="256"/>
      <c r="BA90" s="256"/>
      <c r="BB90" s="256"/>
      <c r="BC90" s="256"/>
      <c r="BD90" s="256"/>
      <c r="BE90" s="256"/>
      <c r="BF90" s="256"/>
      <c r="BG90" s="256"/>
      <c r="BH90" s="256"/>
      <c r="BI90" s="256"/>
      <c r="BJ90" s="256"/>
      <c r="BK90" s="256"/>
      <c r="BL90" s="256"/>
      <c r="BM90" s="256"/>
      <c r="BN90" s="256"/>
      <c r="BO90" s="256"/>
      <c r="BP90" s="256"/>
      <c r="BQ90" s="256"/>
      <c r="BR90" s="256"/>
      <c r="BS90" s="256"/>
      <c r="BT90" s="256"/>
      <c r="BU90" s="256"/>
      <c r="BV90" s="256"/>
      <c r="BW90" s="256"/>
      <c r="BX90" s="256"/>
      <c r="BY90" s="256"/>
      <c r="BZ90" s="256"/>
      <c r="CA90" s="256"/>
      <c r="CB90" s="256"/>
      <c r="CC90" s="256"/>
      <c r="CD90" s="256"/>
      <c r="CE90" s="256"/>
      <c r="CF90" s="256"/>
      <c r="CG90" s="256"/>
      <c r="CH90" s="256"/>
      <c r="CI90" s="256"/>
      <c r="CJ90" s="256"/>
      <c r="CK90" s="256"/>
      <c r="CL90" s="256"/>
      <c r="CM90" s="256"/>
      <c r="CN90" s="256"/>
      <c r="CO90" s="256"/>
      <c r="CP90" s="256"/>
      <c r="CQ90" s="256"/>
      <c r="CR90" s="256"/>
      <c r="CS90" s="256"/>
      <c r="CT90" s="256"/>
      <c r="CU90" s="256"/>
      <c r="CV90" s="256"/>
      <c r="CW90" s="256"/>
      <c r="CX90" s="256"/>
      <c r="CY90" s="256"/>
      <c r="CZ90" s="256"/>
      <c r="DA90" s="256"/>
      <c r="DB90" s="256"/>
      <c r="DC90" s="256"/>
      <c r="DD90" s="256"/>
      <c r="DE90" s="256"/>
      <c r="DF90" s="256"/>
      <c r="DG90" s="256"/>
      <c r="DH90" s="256"/>
      <c r="DI90" s="256"/>
      <c r="DJ90" s="256"/>
      <c r="DK90" s="256"/>
      <c r="DL90" s="256"/>
      <c r="DM90" s="256"/>
      <c r="DN90" s="256"/>
      <c r="DO90" s="256"/>
      <c r="DP90" s="256"/>
      <c r="DQ90" s="256"/>
      <c r="DR90" s="256"/>
      <c r="DS90" s="256"/>
      <c r="DT90" s="256"/>
      <c r="DU90" s="256"/>
      <c r="DV90" s="256"/>
      <c r="DW90" s="256"/>
      <c r="DX90" s="256"/>
      <c r="DY90" s="256"/>
      <c r="DZ90" s="256"/>
      <c r="EA90" s="256"/>
      <c r="EB90" s="256"/>
      <c r="EC90" s="256"/>
      <c r="ED90" s="256"/>
      <c r="EE90" s="256"/>
      <c r="EF90" s="256"/>
      <c r="EG90" s="256"/>
      <c r="EH90" s="256"/>
      <c r="EI90" s="256"/>
      <c r="EJ90" s="256"/>
      <c r="EK90" s="256"/>
      <c r="EL90" s="256"/>
      <c r="EM90" s="256"/>
      <c r="EN90" s="256"/>
      <c r="EO90" s="256"/>
      <c r="EP90" s="256"/>
      <c r="EQ90" s="256"/>
      <c r="ER90" s="256"/>
      <c r="ES90" s="256"/>
      <c r="ET90" s="256"/>
      <c r="EU90" s="256"/>
      <c r="EV90" s="256"/>
      <c r="EW90" s="256"/>
      <c r="EX90" s="256"/>
      <c r="EY90" s="256"/>
      <c r="EZ90" s="256"/>
      <c r="FA90" s="256"/>
      <c r="FB90" s="256"/>
      <c r="FC90" s="256"/>
      <c r="FD90" s="256"/>
      <c r="FE90" s="256"/>
      <c r="FF90" s="256"/>
      <c r="FG90" s="256"/>
      <c r="FH90" s="256"/>
      <c r="FI90" s="256"/>
      <c r="FJ90" s="256"/>
      <c r="FK90" s="256"/>
      <c r="FL90" s="256"/>
      <c r="FM90" s="256"/>
      <c r="FN90" s="256"/>
      <c r="FO90" s="256"/>
      <c r="FP90" s="256"/>
      <c r="FQ90" s="256"/>
      <c r="FR90" s="256"/>
      <c r="FS90" s="256"/>
      <c r="FT90" s="256"/>
      <c r="FU90" s="256"/>
      <c r="FV90" s="256"/>
      <c r="FW90" s="256"/>
      <c r="FX90" s="256"/>
      <c r="FY90" s="256"/>
      <c r="FZ90" s="256"/>
      <c r="GA90" s="256"/>
      <c r="GB90" s="256"/>
      <c r="GC90" s="256"/>
      <c r="GD90" s="256"/>
      <c r="GE90" s="256"/>
      <c r="GF90" s="256"/>
      <c r="GG90" s="256"/>
      <c r="GH90" s="256"/>
      <c r="GI90" s="256"/>
      <c r="GJ90" s="256"/>
      <c r="GK90" s="256"/>
      <c r="GL90" s="256"/>
      <c r="GM90" s="256"/>
      <c r="GN90" s="256"/>
      <c r="GO90" s="256"/>
      <c r="GP90" s="256"/>
      <c r="GQ90" s="256"/>
      <c r="GR90" s="256"/>
      <c r="GS90" s="256"/>
      <c r="GT90" s="256"/>
      <c r="GU90" s="256"/>
      <c r="GV90" s="256"/>
      <c r="GW90" s="256"/>
      <c r="GX90" s="256"/>
      <c r="GY90" s="256"/>
      <c r="GZ90" s="256"/>
      <c r="HA90" s="256"/>
      <c r="HB90" s="256"/>
      <c r="HC90" s="256"/>
      <c r="HD90" s="256"/>
      <c r="HE90" s="256"/>
      <c r="HF90" s="256"/>
      <c r="HG90" s="256"/>
      <c r="HH90" s="256"/>
      <c r="HI90" s="256"/>
      <c r="HJ90" s="256"/>
      <c r="HK90" s="256"/>
      <c r="HL90" s="256"/>
      <c r="HM90" s="256"/>
      <c r="HN90" s="256"/>
      <c r="HO90" s="256"/>
      <c r="HP90" s="256"/>
      <c r="HQ90" s="256"/>
      <c r="HR90" s="256"/>
      <c r="HS90" s="256"/>
      <c r="HT90" s="256"/>
      <c r="HU90" s="256"/>
      <c r="HV90" s="256"/>
      <c r="HW90" s="256"/>
      <c r="HX90" s="256"/>
      <c r="HY90" s="256"/>
      <c r="HZ90" s="256"/>
      <c r="IA90" s="256"/>
      <c r="IB90" s="256"/>
      <c r="IC90" s="256"/>
      <c r="ID90" s="256"/>
      <c r="IE90" s="256"/>
      <c r="IF90" s="256"/>
      <c r="IG90" s="256"/>
      <c r="IH90" s="256"/>
      <c r="II90" s="256"/>
      <c r="IJ90" s="256"/>
      <c r="IK90" s="256"/>
      <c r="IL90" s="256"/>
      <c r="IM90" s="256"/>
      <c r="IN90" s="256"/>
      <c r="IO90" s="256"/>
      <c r="IP90" s="256"/>
      <c r="IQ90" s="256"/>
      <c r="IR90" s="256"/>
      <c r="IS90" s="256"/>
    </row>
    <row r="91" spans="1:4" ht="12.75">
      <c r="A91" s="356"/>
      <c r="B91" s="463" t="s">
        <v>351</v>
      </c>
      <c r="C91" s="448">
        <v>1100840000</v>
      </c>
      <c r="D91" s="364" t="s">
        <v>488</v>
      </c>
    </row>
    <row r="92" spans="1:253" ht="12.75">
      <c r="A92" s="356"/>
      <c r="B92" s="790"/>
      <c r="C92" s="790"/>
      <c r="D92" s="365"/>
      <c r="E92" s="256"/>
      <c r="F92" s="255"/>
      <c r="G92" s="256"/>
      <c r="H92" s="256"/>
      <c r="I92" s="256"/>
      <c r="J92" s="256"/>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6"/>
      <c r="AQ92" s="256"/>
      <c r="AR92" s="256"/>
      <c r="AS92" s="256"/>
      <c r="AT92" s="256"/>
      <c r="AU92" s="256"/>
      <c r="AV92" s="256"/>
      <c r="AW92" s="256"/>
      <c r="AX92" s="256"/>
      <c r="AY92" s="256"/>
      <c r="AZ92" s="256"/>
      <c r="BA92" s="256"/>
      <c r="BB92" s="256"/>
      <c r="BC92" s="256"/>
      <c r="BD92" s="256"/>
      <c r="BE92" s="256"/>
      <c r="BF92" s="256"/>
      <c r="BG92" s="256"/>
      <c r="BH92" s="256"/>
      <c r="BI92" s="256"/>
      <c r="BJ92" s="256"/>
      <c r="BK92" s="256"/>
      <c r="BL92" s="256"/>
      <c r="BM92" s="256"/>
      <c r="BN92" s="256"/>
      <c r="BO92" s="256"/>
      <c r="BP92" s="256"/>
      <c r="BQ92" s="256"/>
      <c r="BR92" s="256"/>
      <c r="BS92" s="256"/>
      <c r="BT92" s="256"/>
      <c r="BU92" s="256"/>
      <c r="BV92" s="256"/>
      <c r="BW92" s="256"/>
      <c r="BX92" s="256"/>
      <c r="BY92" s="256"/>
      <c r="BZ92" s="256"/>
      <c r="CA92" s="256"/>
      <c r="CB92" s="256"/>
      <c r="CC92" s="256"/>
      <c r="CD92" s="256"/>
      <c r="CE92" s="256"/>
      <c r="CF92" s="256"/>
      <c r="CG92" s="256"/>
      <c r="CH92" s="256"/>
      <c r="CI92" s="256"/>
      <c r="CJ92" s="256"/>
      <c r="CK92" s="256"/>
      <c r="CL92" s="256"/>
      <c r="CM92" s="256"/>
      <c r="CN92" s="256"/>
      <c r="CO92" s="256"/>
      <c r="CP92" s="256"/>
      <c r="CQ92" s="256"/>
      <c r="CR92" s="256"/>
      <c r="CS92" s="256"/>
      <c r="CT92" s="256"/>
      <c r="CU92" s="256"/>
      <c r="CV92" s="256"/>
      <c r="CW92" s="256"/>
      <c r="CX92" s="256"/>
      <c r="CY92" s="256"/>
      <c r="CZ92" s="256"/>
      <c r="DA92" s="256"/>
      <c r="DB92" s="256"/>
      <c r="DC92" s="256"/>
      <c r="DD92" s="256"/>
      <c r="DE92" s="256"/>
      <c r="DF92" s="256"/>
      <c r="DG92" s="256"/>
      <c r="DH92" s="256"/>
      <c r="DI92" s="256"/>
      <c r="DJ92" s="256"/>
      <c r="DK92" s="256"/>
      <c r="DL92" s="256"/>
      <c r="DM92" s="256"/>
      <c r="DN92" s="256"/>
      <c r="DO92" s="256"/>
      <c r="DP92" s="256"/>
      <c r="DQ92" s="256"/>
      <c r="DR92" s="256"/>
      <c r="DS92" s="256"/>
      <c r="DT92" s="256"/>
      <c r="DU92" s="256"/>
      <c r="DV92" s="256"/>
      <c r="DW92" s="256"/>
      <c r="DX92" s="256"/>
      <c r="DY92" s="256"/>
      <c r="DZ92" s="256"/>
      <c r="EA92" s="256"/>
      <c r="EB92" s="256"/>
      <c r="EC92" s="256"/>
      <c r="ED92" s="256"/>
      <c r="EE92" s="256"/>
      <c r="EF92" s="256"/>
      <c r="EG92" s="256"/>
      <c r="EH92" s="256"/>
      <c r="EI92" s="256"/>
      <c r="EJ92" s="256"/>
      <c r="EK92" s="256"/>
      <c r="EL92" s="256"/>
      <c r="EM92" s="256"/>
      <c r="EN92" s="256"/>
      <c r="EO92" s="256"/>
      <c r="EP92" s="256"/>
      <c r="EQ92" s="256"/>
      <c r="ER92" s="256"/>
      <c r="ES92" s="256"/>
      <c r="ET92" s="256"/>
      <c r="EU92" s="256"/>
      <c r="EV92" s="256"/>
      <c r="EW92" s="256"/>
      <c r="EX92" s="256"/>
      <c r="EY92" s="256"/>
      <c r="EZ92" s="256"/>
      <c r="FA92" s="256"/>
      <c r="FB92" s="256"/>
      <c r="FC92" s="256"/>
      <c r="FD92" s="256"/>
      <c r="FE92" s="256"/>
      <c r="FF92" s="256"/>
      <c r="FG92" s="256"/>
      <c r="FH92" s="256"/>
      <c r="FI92" s="256"/>
      <c r="FJ92" s="256"/>
      <c r="FK92" s="256"/>
      <c r="FL92" s="256"/>
      <c r="FM92" s="256"/>
      <c r="FN92" s="256"/>
      <c r="FO92" s="256"/>
      <c r="FP92" s="256"/>
      <c r="FQ92" s="256"/>
      <c r="FR92" s="256"/>
      <c r="FS92" s="256"/>
      <c r="FT92" s="256"/>
      <c r="FU92" s="256"/>
      <c r="FV92" s="256"/>
      <c r="FW92" s="256"/>
      <c r="FX92" s="256"/>
      <c r="FY92" s="256"/>
      <c r="FZ92" s="256"/>
      <c r="GA92" s="256"/>
      <c r="GB92" s="256"/>
      <c r="GC92" s="256"/>
      <c r="GD92" s="256"/>
      <c r="GE92" s="256"/>
      <c r="GF92" s="256"/>
      <c r="GG92" s="256"/>
      <c r="GH92" s="256"/>
      <c r="GI92" s="256"/>
      <c r="GJ92" s="256"/>
      <c r="GK92" s="256"/>
      <c r="GL92" s="256"/>
      <c r="GM92" s="256"/>
      <c r="GN92" s="256"/>
      <c r="GO92" s="256"/>
      <c r="GP92" s="256"/>
      <c r="GQ92" s="256"/>
      <c r="GR92" s="256"/>
      <c r="GS92" s="256"/>
      <c r="GT92" s="256"/>
      <c r="GU92" s="256"/>
      <c r="GV92" s="256"/>
      <c r="GW92" s="256"/>
      <c r="GX92" s="256"/>
      <c r="GY92" s="256"/>
      <c r="GZ92" s="256"/>
      <c r="HA92" s="256"/>
      <c r="HB92" s="256"/>
      <c r="HC92" s="256"/>
      <c r="HD92" s="256"/>
      <c r="HE92" s="256"/>
      <c r="HF92" s="256"/>
      <c r="HG92" s="256"/>
      <c r="HH92" s="256"/>
      <c r="HI92" s="256"/>
      <c r="HJ92" s="256"/>
      <c r="HK92" s="256"/>
      <c r="HL92" s="256"/>
      <c r="HM92" s="256"/>
      <c r="HN92" s="256"/>
      <c r="HO92" s="256"/>
      <c r="HP92" s="256"/>
      <c r="HQ92" s="256"/>
      <c r="HR92" s="256"/>
      <c r="HS92" s="256"/>
      <c r="HT92" s="256"/>
      <c r="HU92" s="256"/>
      <c r="HV92" s="256"/>
      <c r="HW92" s="256"/>
      <c r="HX92" s="256"/>
      <c r="HY92" s="256"/>
      <c r="HZ92" s="256"/>
      <c r="IA92" s="256"/>
      <c r="IB92" s="256"/>
      <c r="IC92" s="256"/>
      <c r="ID92" s="256"/>
      <c r="IE92" s="256"/>
      <c r="IF92" s="256"/>
      <c r="IG92" s="256"/>
      <c r="IH92" s="256"/>
      <c r="II92" s="256"/>
      <c r="IJ92" s="256"/>
      <c r="IK92" s="256"/>
      <c r="IL92" s="256"/>
      <c r="IM92" s="256"/>
      <c r="IN92" s="256"/>
      <c r="IO92" s="256"/>
      <c r="IP92" s="256"/>
      <c r="IQ92" s="256"/>
      <c r="IR92" s="256"/>
      <c r="IS92" s="256"/>
    </row>
    <row r="93" spans="1:4" ht="12.75">
      <c r="A93" s="356"/>
      <c r="B93" s="463" t="s">
        <v>352</v>
      </c>
      <c r="C93" s="448">
        <v>3580000</v>
      </c>
      <c r="D93" s="364" t="s">
        <v>170</v>
      </c>
    </row>
    <row r="94" spans="1:253" ht="12.75">
      <c r="A94" s="356"/>
      <c r="B94" s="790"/>
      <c r="C94" s="790"/>
      <c r="D94" s="365"/>
      <c r="E94" s="256"/>
      <c r="F94" s="255"/>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256"/>
      <c r="AV94" s="256"/>
      <c r="AW94" s="256"/>
      <c r="AX94" s="256"/>
      <c r="AY94" s="256"/>
      <c r="AZ94" s="256"/>
      <c r="BA94" s="256"/>
      <c r="BB94" s="256"/>
      <c r="BC94" s="256"/>
      <c r="BD94" s="256"/>
      <c r="BE94" s="256"/>
      <c r="BF94" s="256"/>
      <c r="BG94" s="256"/>
      <c r="BH94" s="256"/>
      <c r="BI94" s="256"/>
      <c r="BJ94" s="256"/>
      <c r="BK94" s="256"/>
      <c r="BL94" s="256"/>
      <c r="BM94" s="256"/>
      <c r="BN94" s="256"/>
      <c r="BO94" s="256"/>
      <c r="BP94" s="256"/>
      <c r="BQ94" s="256"/>
      <c r="BR94" s="256"/>
      <c r="BS94" s="256"/>
      <c r="BT94" s="256"/>
      <c r="BU94" s="256"/>
      <c r="BV94" s="256"/>
      <c r="BW94" s="256"/>
      <c r="BX94" s="256"/>
      <c r="BY94" s="256"/>
      <c r="BZ94" s="256"/>
      <c r="CA94" s="256"/>
      <c r="CB94" s="256"/>
      <c r="CC94" s="256"/>
      <c r="CD94" s="256"/>
      <c r="CE94" s="256"/>
      <c r="CF94" s="256"/>
      <c r="CG94" s="256"/>
      <c r="CH94" s="256"/>
      <c r="CI94" s="256"/>
      <c r="CJ94" s="256"/>
      <c r="CK94" s="256"/>
      <c r="CL94" s="256"/>
      <c r="CM94" s="256"/>
      <c r="CN94" s="256"/>
      <c r="CO94" s="256"/>
      <c r="CP94" s="256"/>
      <c r="CQ94" s="256"/>
      <c r="CR94" s="256"/>
      <c r="CS94" s="256"/>
      <c r="CT94" s="256"/>
      <c r="CU94" s="256"/>
      <c r="CV94" s="256"/>
      <c r="CW94" s="256"/>
      <c r="CX94" s="256"/>
      <c r="CY94" s="256"/>
      <c r="CZ94" s="256"/>
      <c r="DA94" s="256"/>
      <c r="DB94" s="256"/>
      <c r="DC94" s="256"/>
      <c r="DD94" s="256"/>
      <c r="DE94" s="256"/>
      <c r="DF94" s="256"/>
      <c r="DG94" s="256"/>
      <c r="DH94" s="256"/>
      <c r="DI94" s="256"/>
      <c r="DJ94" s="256"/>
      <c r="DK94" s="256"/>
      <c r="DL94" s="256"/>
      <c r="DM94" s="256"/>
      <c r="DN94" s="256"/>
      <c r="DO94" s="256"/>
      <c r="DP94" s="256"/>
      <c r="DQ94" s="256"/>
      <c r="DR94" s="256"/>
      <c r="DS94" s="256"/>
      <c r="DT94" s="256"/>
      <c r="DU94" s="256"/>
      <c r="DV94" s="256"/>
      <c r="DW94" s="256"/>
      <c r="DX94" s="256"/>
      <c r="DY94" s="256"/>
      <c r="DZ94" s="256"/>
      <c r="EA94" s="256"/>
      <c r="EB94" s="256"/>
      <c r="EC94" s="256"/>
      <c r="ED94" s="256"/>
      <c r="EE94" s="256"/>
      <c r="EF94" s="256"/>
      <c r="EG94" s="256"/>
      <c r="EH94" s="256"/>
      <c r="EI94" s="256"/>
      <c r="EJ94" s="256"/>
      <c r="EK94" s="256"/>
      <c r="EL94" s="256"/>
      <c r="EM94" s="256"/>
      <c r="EN94" s="256"/>
      <c r="EO94" s="256"/>
      <c r="EP94" s="256"/>
      <c r="EQ94" s="256"/>
      <c r="ER94" s="256"/>
      <c r="ES94" s="256"/>
      <c r="ET94" s="256"/>
      <c r="EU94" s="256"/>
      <c r="EV94" s="256"/>
      <c r="EW94" s="256"/>
      <c r="EX94" s="256"/>
      <c r="EY94" s="256"/>
      <c r="EZ94" s="256"/>
      <c r="FA94" s="256"/>
      <c r="FB94" s="256"/>
      <c r="FC94" s="256"/>
      <c r="FD94" s="256"/>
      <c r="FE94" s="256"/>
      <c r="FF94" s="256"/>
      <c r="FG94" s="256"/>
      <c r="FH94" s="256"/>
      <c r="FI94" s="256"/>
      <c r="FJ94" s="256"/>
      <c r="FK94" s="256"/>
      <c r="FL94" s="256"/>
      <c r="FM94" s="256"/>
      <c r="FN94" s="256"/>
      <c r="FO94" s="256"/>
      <c r="FP94" s="256"/>
      <c r="FQ94" s="256"/>
      <c r="FR94" s="256"/>
      <c r="FS94" s="256"/>
      <c r="FT94" s="256"/>
      <c r="FU94" s="256"/>
      <c r="FV94" s="256"/>
      <c r="FW94" s="256"/>
      <c r="FX94" s="256"/>
      <c r="FY94" s="256"/>
      <c r="FZ94" s="256"/>
      <c r="GA94" s="256"/>
      <c r="GB94" s="256"/>
      <c r="GC94" s="256"/>
      <c r="GD94" s="256"/>
      <c r="GE94" s="256"/>
      <c r="GF94" s="256"/>
      <c r="GG94" s="256"/>
      <c r="GH94" s="256"/>
      <c r="GI94" s="256"/>
      <c r="GJ94" s="256"/>
      <c r="GK94" s="256"/>
      <c r="GL94" s="256"/>
      <c r="GM94" s="256"/>
      <c r="GN94" s="256"/>
      <c r="GO94" s="256"/>
      <c r="GP94" s="256"/>
      <c r="GQ94" s="256"/>
      <c r="GR94" s="256"/>
      <c r="GS94" s="256"/>
      <c r="GT94" s="256"/>
      <c r="GU94" s="256"/>
      <c r="GV94" s="256"/>
      <c r="GW94" s="256"/>
      <c r="GX94" s="256"/>
      <c r="GY94" s="256"/>
      <c r="GZ94" s="256"/>
      <c r="HA94" s="256"/>
      <c r="HB94" s="256"/>
      <c r="HC94" s="256"/>
      <c r="HD94" s="256"/>
      <c r="HE94" s="256"/>
      <c r="HF94" s="256"/>
      <c r="HG94" s="256"/>
      <c r="HH94" s="256"/>
      <c r="HI94" s="256"/>
      <c r="HJ94" s="256"/>
      <c r="HK94" s="256"/>
      <c r="HL94" s="256"/>
      <c r="HM94" s="256"/>
      <c r="HN94" s="256"/>
      <c r="HO94" s="256"/>
      <c r="HP94" s="256"/>
      <c r="HQ94" s="256"/>
      <c r="HR94" s="256"/>
      <c r="HS94" s="256"/>
      <c r="HT94" s="256"/>
      <c r="HU94" s="256"/>
      <c r="HV94" s="256"/>
      <c r="HW94" s="256"/>
      <c r="HX94" s="256"/>
      <c r="HY94" s="256"/>
      <c r="HZ94" s="256"/>
      <c r="IA94" s="256"/>
      <c r="IB94" s="256"/>
      <c r="IC94" s="256"/>
      <c r="ID94" s="256"/>
      <c r="IE94" s="256"/>
      <c r="IF94" s="256"/>
      <c r="IG94" s="256"/>
      <c r="IH94" s="256"/>
      <c r="II94" s="256"/>
      <c r="IJ94" s="256"/>
      <c r="IK94" s="256"/>
      <c r="IL94" s="256"/>
      <c r="IM94" s="256"/>
      <c r="IN94" s="256"/>
      <c r="IO94" s="256"/>
      <c r="IP94" s="256"/>
      <c r="IQ94" s="256"/>
      <c r="IR94" s="256"/>
      <c r="IS94" s="256"/>
    </row>
    <row r="95" spans="1:5" ht="13.5" thickBot="1">
      <c r="A95" s="366"/>
      <c r="B95" s="476" t="s">
        <v>353</v>
      </c>
      <c r="C95" s="449">
        <v>980000</v>
      </c>
      <c r="D95" s="367"/>
      <c r="E95" s="336" t="s">
        <v>509</v>
      </c>
    </row>
    <row r="96" spans="1:253" ht="12.75">
      <c r="A96" s="251"/>
      <c r="B96" s="465"/>
      <c r="C96" s="262"/>
      <c r="D96" s="263"/>
      <c r="E96" s="256"/>
      <c r="F96" s="255"/>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c r="BT96" s="256"/>
      <c r="BU96" s="256"/>
      <c r="BV96" s="256"/>
      <c r="BW96" s="256"/>
      <c r="BX96" s="256"/>
      <c r="BY96" s="256"/>
      <c r="BZ96" s="256"/>
      <c r="CA96" s="256"/>
      <c r="CB96" s="256"/>
      <c r="CC96" s="256"/>
      <c r="CD96" s="256"/>
      <c r="CE96" s="256"/>
      <c r="CF96" s="256"/>
      <c r="CG96" s="256"/>
      <c r="CH96" s="256"/>
      <c r="CI96" s="256"/>
      <c r="CJ96" s="256"/>
      <c r="CK96" s="256"/>
      <c r="CL96" s="256"/>
      <c r="CM96" s="256"/>
      <c r="CN96" s="256"/>
      <c r="CO96" s="256"/>
      <c r="CP96" s="256"/>
      <c r="CQ96" s="256"/>
      <c r="CR96" s="256"/>
      <c r="CS96" s="256"/>
      <c r="CT96" s="256"/>
      <c r="CU96" s="256"/>
      <c r="CV96" s="256"/>
      <c r="CW96" s="256"/>
      <c r="CX96" s="256"/>
      <c r="CY96" s="256"/>
      <c r="CZ96" s="256"/>
      <c r="DA96" s="256"/>
      <c r="DB96" s="256"/>
      <c r="DC96" s="256"/>
      <c r="DD96" s="256"/>
      <c r="DE96" s="256"/>
      <c r="DF96" s="256"/>
      <c r="DG96" s="256"/>
      <c r="DH96" s="256"/>
      <c r="DI96" s="256"/>
      <c r="DJ96" s="256"/>
      <c r="DK96" s="256"/>
      <c r="DL96" s="256"/>
      <c r="DM96" s="256"/>
      <c r="DN96" s="256"/>
      <c r="DO96" s="256"/>
      <c r="DP96" s="256"/>
      <c r="DQ96" s="256"/>
      <c r="DR96" s="256"/>
      <c r="DS96" s="256"/>
      <c r="DT96" s="256"/>
      <c r="DU96" s="256"/>
      <c r="DV96" s="256"/>
      <c r="DW96" s="256"/>
      <c r="DX96" s="256"/>
      <c r="DY96" s="256"/>
      <c r="DZ96" s="256"/>
      <c r="EA96" s="256"/>
      <c r="EB96" s="256"/>
      <c r="EC96" s="256"/>
      <c r="ED96" s="256"/>
      <c r="EE96" s="256"/>
      <c r="EF96" s="256"/>
      <c r="EG96" s="256"/>
      <c r="EH96" s="256"/>
      <c r="EI96" s="256"/>
      <c r="EJ96" s="256"/>
      <c r="EK96" s="256"/>
      <c r="EL96" s="256"/>
      <c r="EM96" s="256"/>
      <c r="EN96" s="256"/>
      <c r="EO96" s="256"/>
      <c r="EP96" s="256"/>
      <c r="EQ96" s="256"/>
      <c r="ER96" s="256"/>
      <c r="ES96" s="256"/>
      <c r="ET96" s="256"/>
      <c r="EU96" s="256"/>
      <c r="EV96" s="256"/>
      <c r="EW96" s="256"/>
      <c r="EX96" s="256"/>
      <c r="EY96" s="256"/>
      <c r="EZ96" s="256"/>
      <c r="FA96" s="256"/>
      <c r="FB96" s="256"/>
      <c r="FC96" s="256"/>
      <c r="FD96" s="256"/>
      <c r="FE96" s="256"/>
      <c r="FF96" s="256"/>
      <c r="FG96" s="256"/>
      <c r="FH96" s="256"/>
      <c r="FI96" s="256"/>
      <c r="FJ96" s="256"/>
      <c r="FK96" s="256"/>
      <c r="FL96" s="256"/>
      <c r="FM96" s="256"/>
      <c r="FN96" s="256"/>
      <c r="FO96" s="256"/>
      <c r="FP96" s="256"/>
      <c r="FQ96" s="256"/>
      <c r="FR96" s="256"/>
      <c r="FS96" s="256"/>
      <c r="FT96" s="256"/>
      <c r="FU96" s="256"/>
      <c r="FV96" s="256"/>
      <c r="FW96" s="256"/>
      <c r="FX96" s="256"/>
      <c r="FY96" s="256"/>
      <c r="FZ96" s="256"/>
      <c r="GA96" s="256"/>
      <c r="GB96" s="256"/>
      <c r="GC96" s="256"/>
      <c r="GD96" s="256"/>
      <c r="GE96" s="256"/>
      <c r="GF96" s="256"/>
      <c r="GG96" s="256"/>
      <c r="GH96" s="256"/>
      <c r="GI96" s="256"/>
      <c r="GJ96" s="256"/>
      <c r="GK96" s="256"/>
      <c r="GL96" s="256"/>
      <c r="GM96" s="256"/>
      <c r="GN96" s="256"/>
      <c r="GO96" s="256"/>
      <c r="GP96" s="256"/>
      <c r="GQ96" s="256"/>
      <c r="GR96" s="256"/>
      <c r="GS96" s="256"/>
      <c r="GT96" s="256"/>
      <c r="GU96" s="256"/>
      <c r="GV96" s="256"/>
      <c r="GW96" s="256"/>
      <c r="GX96" s="256"/>
      <c r="GY96" s="256"/>
      <c r="GZ96" s="256"/>
      <c r="HA96" s="256"/>
      <c r="HB96" s="256"/>
      <c r="HC96" s="256"/>
      <c r="HD96" s="256"/>
      <c r="HE96" s="256"/>
      <c r="HF96" s="256"/>
      <c r="HG96" s="256"/>
      <c r="HH96" s="256"/>
      <c r="HI96" s="256"/>
      <c r="HJ96" s="256"/>
      <c r="HK96" s="256"/>
      <c r="HL96" s="256"/>
      <c r="HM96" s="256"/>
      <c r="HN96" s="256"/>
      <c r="HO96" s="256"/>
      <c r="HP96" s="256"/>
      <c r="HQ96" s="256"/>
      <c r="HR96" s="256"/>
      <c r="HS96" s="256"/>
      <c r="HT96" s="256"/>
      <c r="HU96" s="256"/>
      <c r="HV96" s="256"/>
      <c r="HW96" s="256"/>
      <c r="HX96" s="256"/>
      <c r="HY96" s="256"/>
      <c r="HZ96" s="256"/>
      <c r="IA96" s="256"/>
      <c r="IB96" s="256"/>
      <c r="IC96" s="256"/>
      <c r="ID96" s="256"/>
      <c r="IE96" s="256"/>
      <c r="IF96" s="256"/>
      <c r="IG96" s="256"/>
      <c r="IH96" s="256"/>
      <c r="II96" s="256"/>
      <c r="IJ96" s="256"/>
      <c r="IK96" s="256"/>
      <c r="IL96" s="256"/>
      <c r="IM96" s="256"/>
      <c r="IN96" s="256"/>
      <c r="IO96" s="256"/>
      <c r="IP96" s="256"/>
      <c r="IQ96" s="256"/>
      <c r="IR96" s="256"/>
      <c r="IS96" s="256"/>
    </row>
    <row r="97" spans="3:4" ht="12.75">
      <c r="C97" s="249"/>
      <c r="D97" s="118"/>
    </row>
    <row r="98" ht="12.75">
      <c r="D98" s="118"/>
    </row>
    <row r="99" spans="2:4" ht="12.75">
      <c r="B99" s="788"/>
      <c r="C99" s="788"/>
      <c r="D99" s="118"/>
    </row>
    <row r="100" spans="3:4" ht="12.75">
      <c r="C100" s="249"/>
      <c r="D100" s="118"/>
    </row>
    <row r="101" spans="2:4" ht="12.75">
      <c r="B101" s="788"/>
      <c r="C101" s="788"/>
      <c r="D101" s="118"/>
    </row>
    <row r="102" spans="2:4" ht="12.75">
      <c r="B102" s="795"/>
      <c r="C102" s="795"/>
      <c r="D102" s="118"/>
    </row>
    <row r="103" ht="12.75">
      <c r="D103" s="118"/>
    </row>
    <row r="104" ht="12.75">
      <c r="D104" s="118"/>
    </row>
    <row r="105" ht="12.75">
      <c r="D105" s="118"/>
    </row>
    <row r="106" spans="2:4" ht="12.75">
      <c r="B106" s="788"/>
      <c r="C106" s="788"/>
      <c r="D106" s="250"/>
    </row>
    <row r="107" ht="12.75">
      <c r="D107" s="250"/>
    </row>
    <row r="108" ht="12.75">
      <c r="D108" s="250"/>
    </row>
    <row r="109" ht="12.75">
      <c r="D109" s="250"/>
    </row>
    <row r="110" ht="12.75">
      <c r="D110" s="250"/>
    </row>
    <row r="111" ht="12.75">
      <c r="D111" s="250"/>
    </row>
    <row r="112" ht="12.75">
      <c r="D112" s="250"/>
    </row>
  </sheetData>
  <sheetProtection/>
  <mergeCells count="24">
    <mergeCell ref="B1:D1"/>
    <mergeCell ref="B4:D4"/>
    <mergeCell ref="B5:D5"/>
    <mergeCell ref="B2:D2"/>
    <mergeCell ref="B3:D3"/>
    <mergeCell ref="C38:D38"/>
    <mergeCell ref="C36:D36"/>
    <mergeCell ref="C29:D29"/>
    <mergeCell ref="C22:D22"/>
    <mergeCell ref="C17:D17"/>
    <mergeCell ref="B102:C102"/>
    <mergeCell ref="B106:C106"/>
    <mergeCell ref="C85:D85"/>
    <mergeCell ref="C70:D70"/>
    <mergeCell ref="B94:C94"/>
    <mergeCell ref="B92:C92"/>
    <mergeCell ref="C7:D7"/>
    <mergeCell ref="B101:C101"/>
    <mergeCell ref="B99:C99"/>
    <mergeCell ref="B88:C88"/>
    <mergeCell ref="B90:C90"/>
    <mergeCell ref="C49:D49"/>
    <mergeCell ref="C53:D53"/>
    <mergeCell ref="B86:C86"/>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I21"/>
  <sheetViews>
    <sheetView showGridLines="0" zoomScale="170" zoomScaleNormal="170" zoomScalePageLayoutView="0" workbookViewId="0" topLeftCell="B1">
      <selection activeCell="H11" sqref="H11"/>
    </sheetView>
  </sheetViews>
  <sheetFormatPr defaultColWidth="11.421875" defaultRowHeight="12.75"/>
  <cols>
    <col min="1" max="1" width="40.7109375" style="117" customWidth="1"/>
    <col min="2" max="2" width="16.8515625" style="117" customWidth="1"/>
    <col min="3" max="3" width="14.00390625" style="117" customWidth="1"/>
    <col min="4" max="4" width="13.7109375" style="117" customWidth="1"/>
    <col min="5" max="6" width="12.421875" style="117" customWidth="1"/>
    <col min="7" max="7" width="14.421875" style="117" customWidth="1"/>
    <col min="8" max="8" width="13.7109375" style="117" customWidth="1"/>
    <col min="9" max="16384" width="11.421875" style="117" customWidth="1"/>
  </cols>
  <sheetData>
    <row r="1" spans="1:8" ht="12.75">
      <c r="A1" s="819" t="s">
        <v>513</v>
      </c>
      <c r="B1" s="800"/>
      <c r="C1" s="800"/>
      <c r="D1" s="800"/>
      <c r="E1" s="800"/>
      <c r="F1" s="800"/>
      <c r="G1" s="800"/>
      <c r="H1" s="801"/>
    </row>
    <row r="2" spans="1:8" ht="12.75">
      <c r="A2" s="813" t="s">
        <v>306</v>
      </c>
      <c r="B2" s="814"/>
      <c r="C2" s="814"/>
      <c r="D2" s="814"/>
      <c r="E2" s="814"/>
      <c r="F2" s="814"/>
      <c r="G2" s="814"/>
      <c r="H2" s="815"/>
    </row>
    <row r="3" spans="1:8" ht="12.75">
      <c r="A3" s="813" t="s">
        <v>172</v>
      </c>
      <c r="B3" s="814"/>
      <c r="C3" s="814"/>
      <c r="D3" s="814"/>
      <c r="E3" s="814"/>
      <c r="F3" s="814"/>
      <c r="G3" s="814"/>
      <c r="H3" s="815"/>
    </row>
    <row r="4" spans="1:8" ht="12.75">
      <c r="A4" s="813" t="s">
        <v>425</v>
      </c>
      <c r="B4" s="814"/>
      <c r="C4" s="814"/>
      <c r="D4" s="814"/>
      <c r="E4" s="814"/>
      <c r="F4" s="814"/>
      <c r="G4" s="814"/>
      <c r="H4" s="815"/>
    </row>
    <row r="5" spans="1:8" ht="13.5" thickBot="1">
      <c r="A5" s="119"/>
      <c r="B5" s="120"/>
      <c r="C5" s="120"/>
      <c r="D5" s="120"/>
      <c r="E5" s="120"/>
      <c r="F5" s="120"/>
      <c r="G5" s="120"/>
      <c r="H5" s="122"/>
    </row>
    <row r="6" spans="1:8" ht="13.5" customHeight="1" thickBot="1">
      <c r="A6" s="820"/>
      <c r="B6" s="810" t="s">
        <v>246</v>
      </c>
      <c r="C6" s="816" t="s">
        <v>572</v>
      </c>
      <c r="D6" s="818"/>
      <c r="E6" s="817"/>
      <c r="F6" s="810" t="s">
        <v>19</v>
      </c>
      <c r="G6" s="810" t="s">
        <v>285</v>
      </c>
      <c r="H6" s="810" t="s">
        <v>286</v>
      </c>
    </row>
    <row r="7" spans="1:8" ht="13.5" thickBot="1">
      <c r="A7" s="821"/>
      <c r="B7" s="811"/>
      <c r="C7" s="810" t="s">
        <v>14</v>
      </c>
      <c r="D7" s="816" t="s">
        <v>15</v>
      </c>
      <c r="E7" s="817"/>
      <c r="F7" s="811"/>
      <c r="G7" s="811"/>
      <c r="H7" s="811"/>
    </row>
    <row r="8" spans="1:8" ht="13.5" thickBot="1">
      <c r="A8" s="822"/>
      <c r="B8" s="812"/>
      <c r="C8" s="812"/>
      <c r="D8" s="188" t="s">
        <v>17</v>
      </c>
      <c r="E8" s="188" t="s">
        <v>18</v>
      </c>
      <c r="F8" s="812"/>
      <c r="G8" s="812"/>
      <c r="H8" s="812"/>
    </row>
    <row r="9" spans="1:8" ht="12.75">
      <c r="A9" s="214" t="s">
        <v>22</v>
      </c>
      <c r="B9" s="215"/>
      <c r="C9" s="134"/>
      <c r="D9" s="216"/>
      <c r="E9" s="217"/>
      <c r="F9" s="215"/>
      <c r="G9" s="218"/>
      <c r="H9" s="218"/>
    </row>
    <row r="10" spans="1:8" ht="12.75">
      <c r="A10" s="127" t="s">
        <v>21</v>
      </c>
      <c r="B10" s="123"/>
      <c r="C10" s="124"/>
      <c r="D10" s="219"/>
      <c r="E10" s="220"/>
      <c r="F10" s="123"/>
      <c r="G10" s="221"/>
      <c r="H10" s="221"/>
    </row>
    <row r="11" spans="1:8" ht="12.75">
      <c r="A11" s="123" t="str">
        <f>+INFORMACION!B8</f>
        <v>Cuenta corriente BBVA  10119388 </v>
      </c>
      <c r="B11" s="123">
        <v>10119318</v>
      </c>
      <c r="C11" s="124"/>
      <c r="D11" s="219"/>
      <c r="E11" s="220"/>
      <c r="F11" s="123"/>
      <c r="G11" s="221">
        <v>0</v>
      </c>
      <c r="H11" s="221">
        <f>+INFORMACION!C8</f>
        <v>25801258</v>
      </c>
    </row>
    <row r="12" spans="1:8" ht="12.75">
      <c r="A12" s="123" t="str">
        <f>+INFORMACION!B9</f>
        <v>Cuenta de ahorros Bancolombia 2015455  </v>
      </c>
      <c r="B12" s="123">
        <v>2015455</v>
      </c>
      <c r="C12" s="124"/>
      <c r="D12" s="219"/>
      <c r="E12" s="220"/>
      <c r="F12" s="123"/>
      <c r="G12" s="221">
        <v>0</v>
      </c>
      <c r="H12" s="221">
        <f>+INFORMACION!C9</f>
        <v>2358987</v>
      </c>
    </row>
    <row r="13" spans="1:9" ht="12.75">
      <c r="A13" s="123" t="str">
        <f>+INFORMACION!B10</f>
        <v>City Banco Américas Miami-Cuenta corriente No. 498015 Saldo al 31-12-2016 US$3.800</v>
      </c>
      <c r="B13" s="264">
        <v>498015</v>
      </c>
      <c r="C13" s="124"/>
      <c r="D13" s="219"/>
      <c r="E13" s="221">
        <v>3800</v>
      </c>
      <c r="F13" s="123">
        <v>2984</v>
      </c>
      <c r="G13" s="221">
        <v>0</v>
      </c>
      <c r="H13" s="265">
        <f>+E13*F13</f>
        <v>11339200</v>
      </c>
      <c r="I13" s="117" t="s">
        <v>586</v>
      </c>
    </row>
    <row r="14" spans="1:8" ht="12.75">
      <c r="A14" s="123" t="str">
        <f>+INFORMACION!B12</f>
        <v>Cuenta de ahorros "AFC" 254569-5 Colpatria</v>
      </c>
      <c r="B14" s="264" t="s">
        <v>356</v>
      </c>
      <c r="C14" s="124"/>
      <c r="D14" s="219"/>
      <c r="E14" s="220"/>
      <c r="F14" s="123"/>
      <c r="G14" s="221">
        <v>0</v>
      </c>
      <c r="H14" s="221">
        <f>+INFORMACION!C12</f>
        <v>23800000</v>
      </c>
    </row>
    <row r="15" spans="1:8" ht="12.75">
      <c r="A15" s="123"/>
      <c r="B15" s="123"/>
      <c r="C15" s="124"/>
      <c r="D15" s="219"/>
      <c r="E15" s="220"/>
      <c r="F15" s="123"/>
      <c r="G15" s="221"/>
      <c r="H15" s="221"/>
    </row>
    <row r="16" spans="1:8" ht="12.75">
      <c r="A16" s="127" t="s">
        <v>20</v>
      </c>
      <c r="B16" s="123"/>
      <c r="C16" s="124"/>
      <c r="D16" s="219"/>
      <c r="E16" s="220"/>
      <c r="F16" s="123"/>
      <c r="G16" s="221"/>
      <c r="H16" s="221"/>
    </row>
    <row r="17" spans="1:8" ht="12.75">
      <c r="A17" s="123" t="str">
        <f>+INFORMACION!B11</f>
        <v>Aportes Fondo de empleados Sociedad XY </v>
      </c>
      <c r="B17" s="123"/>
      <c r="C17" s="124"/>
      <c r="D17" s="219"/>
      <c r="E17" s="220"/>
      <c r="F17" s="123"/>
      <c r="G17" s="221"/>
      <c r="H17" s="221">
        <f>+INFORMACION!C11</f>
        <v>25369874</v>
      </c>
    </row>
    <row r="18" spans="1:9" ht="12.75">
      <c r="A18" s="123" t="str">
        <f>+INFORMACION!B13</f>
        <v>CDT-BCSC</v>
      </c>
      <c r="B18" s="123"/>
      <c r="C18" s="124"/>
      <c r="D18" s="219"/>
      <c r="E18" s="220"/>
      <c r="F18" s="123"/>
      <c r="G18" s="221"/>
      <c r="H18" s="221">
        <f>+INFORMACION!C13</f>
        <v>170000000</v>
      </c>
      <c r="I18" s="117" t="s">
        <v>587</v>
      </c>
    </row>
    <row r="19" spans="1:8" ht="12.75">
      <c r="A19" s="123"/>
      <c r="B19" s="123"/>
      <c r="C19" s="124"/>
      <c r="D19" s="219"/>
      <c r="E19" s="220"/>
      <c r="F19" s="123"/>
      <c r="G19" s="221"/>
      <c r="H19" s="221"/>
    </row>
    <row r="20" spans="1:8" ht="13.5" thickBot="1">
      <c r="A20" s="123"/>
      <c r="B20" s="123"/>
      <c r="C20" s="124"/>
      <c r="D20" s="219"/>
      <c r="E20" s="220"/>
      <c r="F20" s="123"/>
      <c r="G20" s="221"/>
      <c r="H20" s="221"/>
    </row>
    <row r="21" spans="1:8" ht="13.5" thickBot="1">
      <c r="A21" s="163" t="s">
        <v>30</v>
      </c>
      <c r="B21" s="222"/>
      <c r="C21" s="148"/>
      <c r="D21" s="223"/>
      <c r="E21" s="224"/>
      <c r="F21" s="225"/>
      <c r="G21" s="225">
        <f>SUM(G9:G20)</f>
        <v>0</v>
      </c>
      <c r="H21" s="435">
        <f>SUM(H9:H20)</f>
        <v>258669319</v>
      </c>
    </row>
  </sheetData>
  <sheetProtection/>
  <mergeCells count="12">
    <mergeCell ref="A1:H1"/>
    <mergeCell ref="A2:H2"/>
    <mergeCell ref="A3:H3"/>
    <mergeCell ref="A6:A8"/>
    <mergeCell ref="B6:B8"/>
    <mergeCell ref="H6:H8"/>
    <mergeCell ref="F6:F8"/>
    <mergeCell ref="G6:G8"/>
    <mergeCell ref="A4:H4"/>
    <mergeCell ref="D7:E7"/>
    <mergeCell ref="C6:E6"/>
    <mergeCell ref="C7:C8"/>
  </mergeCells>
  <printOptions/>
  <pageMargins left="0.7480314960629921" right="0.7480314960629921" top="0.984251968503937" bottom="0.984251968503937" header="0" footer="0"/>
  <pageSetup orientation="landscape" scale="70" r:id="rId1"/>
</worksheet>
</file>

<file path=xl/worksheets/sheet4.xml><?xml version="1.0" encoding="utf-8"?>
<worksheet xmlns="http://schemas.openxmlformats.org/spreadsheetml/2006/main" xmlns:r="http://schemas.openxmlformats.org/officeDocument/2006/relationships">
  <dimension ref="A1:Q18"/>
  <sheetViews>
    <sheetView showGridLines="0" zoomScale="190" zoomScaleNormal="190" zoomScalePageLayoutView="0" workbookViewId="0" topLeftCell="A1">
      <selection activeCell="A11" sqref="A11"/>
    </sheetView>
  </sheetViews>
  <sheetFormatPr defaultColWidth="11.421875" defaultRowHeight="12.75"/>
  <cols>
    <col min="1" max="1" width="17.7109375" style="117" customWidth="1"/>
    <col min="2" max="2" width="10.7109375" style="117" customWidth="1"/>
    <col min="3" max="3" width="10.00390625" style="117" customWidth="1"/>
    <col min="4" max="4" width="8.7109375" style="30" customWidth="1"/>
    <col min="5" max="5" width="8.7109375" style="117" customWidth="1"/>
    <col min="6" max="6" width="9.28125" style="117" customWidth="1"/>
    <col min="7" max="7" width="15.140625" style="117" customWidth="1"/>
    <col min="8" max="8" width="8.7109375" style="117" customWidth="1"/>
    <col min="9" max="9" width="13.140625" style="117" customWidth="1"/>
    <col min="10" max="10" width="8.7109375" style="117" customWidth="1"/>
    <col min="11" max="11" width="13.7109375" style="117" customWidth="1"/>
    <col min="12" max="12" width="6.7109375" style="117" customWidth="1"/>
    <col min="13" max="13" width="10.57421875" style="117" customWidth="1"/>
    <col min="14" max="14" width="13.7109375" style="117" customWidth="1"/>
    <col min="15" max="16384" width="11.421875" style="117" customWidth="1"/>
  </cols>
  <sheetData>
    <row r="1" spans="1:14" ht="12.75">
      <c r="A1" s="819" t="str">
        <f>+'ANEXO 1'!A1</f>
        <v>CARO PAZ SANTOS</v>
      </c>
      <c r="B1" s="800"/>
      <c r="C1" s="800"/>
      <c r="D1" s="800"/>
      <c r="E1" s="800"/>
      <c r="F1" s="800"/>
      <c r="G1" s="800"/>
      <c r="H1" s="800"/>
      <c r="I1" s="800"/>
      <c r="J1" s="800"/>
      <c r="K1" s="800"/>
      <c r="L1" s="800"/>
      <c r="M1" s="800"/>
      <c r="N1" s="801"/>
    </row>
    <row r="2" spans="1:14" ht="12.75">
      <c r="A2" s="813" t="s">
        <v>401</v>
      </c>
      <c r="B2" s="814"/>
      <c r="C2" s="814"/>
      <c r="D2" s="814"/>
      <c r="E2" s="814"/>
      <c r="F2" s="814"/>
      <c r="G2" s="814"/>
      <c r="H2" s="814"/>
      <c r="I2" s="814"/>
      <c r="J2" s="814"/>
      <c r="K2" s="814"/>
      <c r="L2" s="814"/>
      <c r="M2" s="814"/>
      <c r="N2" s="815"/>
    </row>
    <row r="3" spans="1:14" ht="12.75">
      <c r="A3" s="813" t="str">
        <f>+'ANEXO 1'!A3</f>
        <v>Año Gravable 2017</v>
      </c>
      <c r="B3" s="814"/>
      <c r="C3" s="814"/>
      <c r="D3" s="814"/>
      <c r="E3" s="814"/>
      <c r="F3" s="814"/>
      <c r="G3" s="814"/>
      <c r="H3" s="814"/>
      <c r="I3" s="814"/>
      <c r="J3" s="814"/>
      <c r="K3" s="814"/>
      <c r="L3" s="814"/>
      <c r="M3" s="814"/>
      <c r="N3" s="815"/>
    </row>
    <row r="4" spans="1:14" ht="12.75">
      <c r="A4" s="813" t="s">
        <v>426</v>
      </c>
      <c r="B4" s="814"/>
      <c r="C4" s="814"/>
      <c r="D4" s="814"/>
      <c r="E4" s="814"/>
      <c r="F4" s="814"/>
      <c r="G4" s="814"/>
      <c r="H4" s="814"/>
      <c r="I4" s="814"/>
      <c r="J4" s="814"/>
      <c r="K4" s="814"/>
      <c r="L4" s="814"/>
      <c r="M4" s="814"/>
      <c r="N4" s="815"/>
    </row>
    <row r="5" spans="1:14" ht="13.5" thickBot="1">
      <c r="A5" s="119"/>
      <c r="B5" s="120"/>
      <c r="C5" s="120"/>
      <c r="D5" s="226"/>
      <c r="E5" s="120"/>
      <c r="F5" s="120"/>
      <c r="G5" s="120"/>
      <c r="H5" s="120"/>
      <c r="I5" s="120"/>
      <c r="J5" s="120"/>
      <c r="K5" s="120"/>
      <c r="L5" s="120"/>
      <c r="M5" s="120"/>
      <c r="N5" s="122"/>
    </row>
    <row r="6" spans="1:14" ht="13.5" customHeight="1" thickBot="1">
      <c r="A6" s="820"/>
      <c r="B6" s="810" t="s">
        <v>13</v>
      </c>
      <c r="C6" s="816" t="s">
        <v>13</v>
      </c>
      <c r="D6" s="818"/>
      <c r="E6" s="817"/>
      <c r="F6" s="810" t="s">
        <v>19</v>
      </c>
      <c r="G6" s="810" t="s">
        <v>17</v>
      </c>
      <c r="H6" s="824" t="s">
        <v>288</v>
      </c>
      <c r="I6" s="825"/>
      <c r="J6" s="825"/>
      <c r="K6" s="825"/>
      <c r="L6" s="824" t="s">
        <v>79</v>
      </c>
      <c r="M6" s="826"/>
      <c r="N6" s="810" t="s">
        <v>289</v>
      </c>
    </row>
    <row r="7" spans="1:14" ht="13.5" thickBot="1">
      <c r="A7" s="821"/>
      <c r="B7" s="811"/>
      <c r="C7" s="810" t="s">
        <v>14</v>
      </c>
      <c r="D7" s="816" t="s">
        <v>579</v>
      </c>
      <c r="E7" s="817"/>
      <c r="F7" s="811"/>
      <c r="G7" s="811"/>
      <c r="H7" s="824" t="s">
        <v>67</v>
      </c>
      <c r="I7" s="826"/>
      <c r="J7" s="824" t="s">
        <v>69</v>
      </c>
      <c r="K7" s="825"/>
      <c r="L7" s="823">
        <v>0.0407</v>
      </c>
      <c r="M7" s="810" t="s">
        <v>51</v>
      </c>
      <c r="N7" s="811"/>
    </row>
    <row r="8" spans="1:14" ht="13.5" thickBot="1">
      <c r="A8" s="822"/>
      <c r="B8" s="812"/>
      <c r="C8" s="812"/>
      <c r="D8" s="227" t="s">
        <v>17</v>
      </c>
      <c r="E8" s="188" t="s">
        <v>18</v>
      </c>
      <c r="F8" s="812"/>
      <c r="G8" s="812"/>
      <c r="H8" s="156" t="s">
        <v>68</v>
      </c>
      <c r="I8" s="156" t="s">
        <v>30</v>
      </c>
      <c r="J8" s="156" t="s">
        <v>68</v>
      </c>
      <c r="K8" s="228" t="s">
        <v>30</v>
      </c>
      <c r="L8" s="812"/>
      <c r="M8" s="812"/>
      <c r="N8" s="812"/>
    </row>
    <row r="9" spans="1:14" ht="12.75">
      <c r="A9" s="127" t="s">
        <v>20</v>
      </c>
      <c r="B9" s="123"/>
      <c r="C9" s="124"/>
      <c r="D9" s="124"/>
      <c r="E9" s="220"/>
      <c r="F9" s="123"/>
      <c r="G9" s="221"/>
      <c r="H9" s="229"/>
      <c r="I9" s="221"/>
      <c r="J9" s="229"/>
      <c r="K9" s="221"/>
      <c r="L9" s="230"/>
      <c r="M9" s="221"/>
      <c r="N9" s="220"/>
    </row>
    <row r="10" spans="1:15" ht="12.75">
      <c r="A10" s="123" t="str">
        <f>+INFORMACION!B18</f>
        <v>Ecopetrol SA</v>
      </c>
      <c r="B10" s="267" t="s">
        <v>357</v>
      </c>
      <c r="C10" s="124">
        <v>28000</v>
      </c>
      <c r="D10" s="124">
        <v>1000</v>
      </c>
      <c r="E10" s="220"/>
      <c r="F10" s="123"/>
      <c r="G10" s="221">
        <f>+C10*D10</f>
        <v>28000000</v>
      </c>
      <c r="H10" s="229">
        <v>0</v>
      </c>
      <c r="I10" s="221">
        <f>+C10*H10</f>
        <v>0</v>
      </c>
      <c r="J10" s="229">
        <v>0</v>
      </c>
      <c r="K10" s="221">
        <f>+C10*J10</f>
        <v>0</v>
      </c>
      <c r="L10" s="230"/>
      <c r="M10" s="221">
        <v>0</v>
      </c>
      <c r="N10" s="221">
        <f>+G10+M10</f>
        <v>28000000</v>
      </c>
      <c r="O10" s="117" t="s">
        <v>588</v>
      </c>
    </row>
    <row r="11" spans="1:17" ht="12.75">
      <c r="A11" s="123" t="str">
        <f>+INFORMACION!B19</f>
        <v>Petrobras do Brasil</v>
      </c>
      <c r="B11" s="267" t="s">
        <v>357</v>
      </c>
      <c r="C11" s="124">
        <v>250000</v>
      </c>
      <c r="D11" s="124"/>
      <c r="E11" s="220">
        <v>0.16</v>
      </c>
      <c r="F11" s="480">
        <v>2964</v>
      </c>
      <c r="G11" s="221">
        <f>(+C11*E11)*F11</f>
        <v>118560000</v>
      </c>
      <c r="H11" s="229">
        <v>0</v>
      </c>
      <c r="I11" s="221">
        <v>0</v>
      </c>
      <c r="J11" s="229">
        <v>0</v>
      </c>
      <c r="K11" s="221">
        <v>0</v>
      </c>
      <c r="L11" s="230"/>
      <c r="M11" s="221">
        <v>0</v>
      </c>
      <c r="N11" s="221">
        <f>+G11</f>
        <v>118560000</v>
      </c>
      <c r="O11" s="117" t="s">
        <v>589</v>
      </c>
      <c r="Q11" s="117" t="s">
        <v>590</v>
      </c>
    </row>
    <row r="12" spans="1:15" ht="13.5" thickBot="1">
      <c r="A12" s="123" t="str">
        <f>+INFORMACION!B20</f>
        <v>Caro SAS</v>
      </c>
      <c r="B12" s="267" t="s">
        <v>357</v>
      </c>
      <c r="C12" s="124">
        <v>300000</v>
      </c>
      <c r="D12" s="124">
        <v>1000</v>
      </c>
      <c r="E12" s="220"/>
      <c r="F12" s="123"/>
      <c r="G12" s="221">
        <f>+C12*D12</f>
        <v>300000000</v>
      </c>
      <c r="H12" s="229">
        <v>0</v>
      </c>
      <c r="I12" s="221">
        <f>+C12*H12</f>
        <v>0</v>
      </c>
      <c r="J12" s="229">
        <v>0</v>
      </c>
      <c r="K12" s="221">
        <f>+C12*J12</f>
        <v>0</v>
      </c>
      <c r="L12" s="230"/>
      <c r="M12" s="221">
        <f>+G12*L7</f>
        <v>12210000</v>
      </c>
      <c r="N12" s="221">
        <f>+G12+M12</f>
        <v>312210000</v>
      </c>
      <c r="O12" s="117" t="s">
        <v>591</v>
      </c>
    </row>
    <row r="13" spans="1:14" ht="13.5" thickBot="1">
      <c r="A13" s="163" t="s">
        <v>30</v>
      </c>
      <c r="B13" s="222"/>
      <c r="C13" s="148">
        <f>SUM(C10:C12)</f>
        <v>578000</v>
      </c>
      <c r="D13" s="148"/>
      <c r="E13" s="224"/>
      <c r="F13" s="222"/>
      <c r="G13" s="148">
        <f>SUM(G10:G12)</f>
        <v>446560000</v>
      </c>
      <c r="H13" s="224"/>
      <c r="I13" s="148">
        <f>SUM(I10:I12)</f>
        <v>0</v>
      </c>
      <c r="J13" s="224"/>
      <c r="K13" s="148">
        <f>SUM(K10:K12)</f>
        <v>0</v>
      </c>
      <c r="L13" s="225"/>
      <c r="M13" s="148">
        <f>SUM(M10:M12)</f>
        <v>12210000</v>
      </c>
      <c r="N13" s="148">
        <f>SUM(N10:N12)</f>
        <v>458770000</v>
      </c>
    </row>
    <row r="14" ht="12.75"/>
    <row r="15" ht="12.75">
      <c r="N15" s="438">
        <f>+N13-M13</f>
        <v>446560000</v>
      </c>
    </row>
    <row r="16" spans="5:14" ht="12.75">
      <c r="E16" s="266"/>
      <c r="N16" s="30"/>
    </row>
    <row r="18" spans="5:11" ht="12.75">
      <c r="E18" s="30"/>
      <c r="G18" s="30"/>
      <c r="K18" s="165"/>
    </row>
  </sheetData>
  <sheetProtection/>
  <mergeCells count="18">
    <mergeCell ref="A6:A8"/>
    <mergeCell ref="D7:E7"/>
    <mergeCell ref="B6:B8"/>
    <mergeCell ref="F6:F8"/>
    <mergeCell ref="A1:N1"/>
    <mergeCell ref="A2:N2"/>
    <mergeCell ref="A3:N3"/>
    <mergeCell ref="H7:I7"/>
    <mergeCell ref="J7:K7"/>
    <mergeCell ref="C6:E6"/>
    <mergeCell ref="C7:C8"/>
    <mergeCell ref="A4:N4"/>
    <mergeCell ref="N6:N8"/>
    <mergeCell ref="L7:L8"/>
    <mergeCell ref="M7:M8"/>
    <mergeCell ref="H6:K6"/>
    <mergeCell ref="L6:M6"/>
    <mergeCell ref="G6:G8"/>
  </mergeCells>
  <printOptions/>
  <pageMargins left="0.7480314960629921" right="0.7480314960629921" top="0.984251968503937" bottom="0.984251968503937" header="0" footer="0"/>
  <pageSetup horizontalDpi="600" verticalDpi="600" orientation="landscape" scale="60" r:id="rId3"/>
  <legacyDrawing r:id="rId2"/>
</worksheet>
</file>

<file path=xl/worksheets/sheet5.xml><?xml version="1.0" encoding="utf-8"?>
<worksheet xmlns="http://schemas.openxmlformats.org/spreadsheetml/2006/main" xmlns:r="http://schemas.openxmlformats.org/officeDocument/2006/relationships">
  <dimension ref="A1:L17"/>
  <sheetViews>
    <sheetView showGridLines="0" zoomScale="160" zoomScaleNormal="160" zoomScalePageLayoutView="0" workbookViewId="0" topLeftCell="A1">
      <selection activeCell="A10" sqref="A10"/>
    </sheetView>
  </sheetViews>
  <sheetFormatPr defaultColWidth="11.57421875" defaultRowHeight="12.75"/>
  <cols>
    <col min="1" max="1" width="29.421875" style="117" customWidth="1"/>
    <col min="2" max="2" width="11.57421875" style="117" customWidth="1"/>
    <col min="3" max="3" width="4.7109375" style="117" customWidth="1"/>
    <col min="4" max="4" width="13.57421875" style="117" customWidth="1"/>
    <col min="5" max="5" width="13.8515625" style="117" customWidth="1"/>
    <col min="6" max="6" width="13.28125" style="117" customWidth="1"/>
    <col min="7" max="8" width="13.140625" style="117" customWidth="1"/>
    <col min="9" max="16384" width="11.57421875" style="117" customWidth="1"/>
  </cols>
  <sheetData>
    <row r="1" spans="1:8" ht="12.75">
      <c r="A1" s="819" t="str">
        <f>+'ANEXO 1'!A1</f>
        <v>CARO PAZ SANTOS</v>
      </c>
      <c r="B1" s="800"/>
      <c r="C1" s="800"/>
      <c r="D1" s="800"/>
      <c r="E1" s="800"/>
      <c r="F1" s="800"/>
      <c r="G1" s="800"/>
      <c r="H1" s="801"/>
    </row>
    <row r="2" spans="1:8" ht="12.75">
      <c r="A2" s="813" t="s">
        <v>36</v>
      </c>
      <c r="B2" s="814"/>
      <c r="C2" s="814"/>
      <c r="D2" s="814"/>
      <c r="E2" s="814"/>
      <c r="F2" s="814"/>
      <c r="G2" s="814"/>
      <c r="H2" s="815"/>
    </row>
    <row r="3" spans="1:8" ht="12.75">
      <c r="A3" s="813" t="str">
        <f>+'ANEXO 1'!A3</f>
        <v>Año Gravable 2017</v>
      </c>
      <c r="B3" s="814"/>
      <c r="C3" s="814"/>
      <c r="D3" s="814"/>
      <c r="E3" s="814"/>
      <c r="F3" s="814"/>
      <c r="G3" s="814"/>
      <c r="H3" s="815"/>
    </row>
    <row r="4" spans="1:8" ht="12.75">
      <c r="A4" s="813" t="s">
        <v>427</v>
      </c>
      <c r="B4" s="814"/>
      <c r="C4" s="814"/>
      <c r="D4" s="814"/>
      <c r="E4" s="814"/>
      <c r="F4" s="814"/>
      <c r="G4" s="814"/>
      <c r="H4" s="815"/>
    </row>
    <row r="5" spans="1:8" ht="13.5" thickBot="1">
      <c r="A5" s="119"/>
      <c r="B5" s="120"/>
      <c r="C5" s="120"/>
      <c r="D5" s="120"/>
      <c r="E5" s="120"/>
      <c r="F5" s="120"/>
      <c r="G5" s="120"/>
      <c r="H5" s="122"/>
    </row>
    <row r="6" spans="1:8" ht="12.75" customHeight="1">
      <c r="A6" s="810" t="s">
        <v>36</v>
      </c>
      <c r="B6" s="810" t="s">
        <v>72</v>
      </c>
      <c r="C6" s="232"/>
      <c r="D6" s="810" t="s">
        <v>31</v>
      </c>
      <c r="E6" s="827" t="s">
        <v>37</v>
      </c>
      <c r="F6" s="827" t="s">
        <v>287</v>
      </c>
      <c r="G6" s="830" t="s">
        <v>38</v>
      </c>
      <c r="H6" s="810" t="s">
        <v>289</v>
      </c>
    </row>
    <row r="7" spans="1:8" ht="12.75">
      <c r="A7" s="811"/>
      <c r="B7" s="811"/>
      <c r="C7" s="233" t="s">
        <v>73</v>
      </c>
      <c r="D7" s="811"/>
      <c r="E7" s="828"/>
      <c r="F7" s="828"/>
      <c r="G7" s="831"/>
      <c r="H7" s="811"/>
    </row>
    <row r="8" spans="1:8" ht="13.5" thickBot="1">
      <c r="A8" s="812"/>
      <c r="B8" s="812"/>
      <c r="C8" s="234"/>
      <c r="D8" s="829"/>
      <c r="E8" s="829"/>
      <c r="F8" s="829"/>
      <c r="G8" s="832"/>
      <c r="H8" s="811"/>
    </row>
    <row r="9" spans="1:8" ht="12.75">
      <c r="A9" s="215" t="str">
        <f>+INFORMACION!B15</f>
        <v>Cuentas por Cobrar-Pedro Perez P</v>
      </c>
      <c r="B9" s="134">
        <v>79999888</v>
      </c>
      <c r="C9" s="134"/>
      <c r="D9" s="215"/>
      <c r="E9" s="123"/>
      <c r="F9" s="221">
        <v>0</v>
      </c>
      <c r="G9" s="134">
        <v>0</v>
      </c>
      <c r="H9" s="134">
        <f>+INFORMACION!C15</f>
        <v>3680000</v>
      </c>
    </row>
    <row r="10" spans="1:9" ht="12.75">
      <c r="A10" s="123" t="s">
        <v>598</v>
      </c>
      <c r="B10" s="124"/>
      <c r="C10" s="123"/>
      <c r="D10" s="123"/>
      <c r="E10" s="123"/>
      <c r="F10" s="221">
        <v>0</v>
      </c>
      <c r="G10" s="124">
        <v>0</v>
      </c>
      <c r="H10" s="124">
        <v>0</v>
      </c>
      <c r="I10" s="117" t="s">
        <v>592</v>
      </c>
    </row>
    <row r="11" spans="1:10" ht="12.75">
      <c r="A11" s="123"/>
      <c r="B11" s="124"/>
      <c r="C11" s="123"/>
      <c r="D11" s="123"/>
      <c r="E11" s="123"/>
      <c r="F11" s="221">
        <v>0</v>
      </c>
      <c r="G11" s="124">
        <v>0</v>
      </c>
      <c r="H11" s="124">
        <v>0</v>
      </c>
      <c r="J11" s="117" t="s">
        <v>593</v>
      </c>
    </row>
    <row r="12" spans="1:8" ht="12.75">
      <c r="A12" s="123"/>
      <c r="B12" s="124"/>
      <c r="C12" s="123"/>
      <c r="D12" s="123"/>
      <c r="E12" s="123"/>
      <c r="F12" s="221">
        <v>0</v>
      </c>
      <c r="G12" s="124">
        <v>0</v>
      </c>
      <c r="H12" s="124">
        <v>0</v>
      </c>
    </row>
    <row r="13" spans="1:12" ht="13.5" thickBot="1">
      <c r="A13" s="123"/>
      <c r="B13" s="124"/>
      <c r="C13" s="123"/>
      <c r="D13" s="123"/>
      <c r="E13" s="123"/>
      <c r="F13" s="221"/>
      <c r="G13" s="157"/>
      <c r="H13" s="157"/>
      <c r="J13" s="117" t="s">
        <v>594</v>
      </c>
      <c r="K13" s="117">
        <v>180000</v>
      </c>
      <c r="L13" s="117">
        <v>180000</v>
      </c>
    </row>
    <row r="14" spans="1:12" ht="13.5" thickBot="1">
      <c r="A14" s="158" t="s">
        <v>30</v>
      </c>
      <c r="B14" s="222"/>
      <c r="C14" s="222"/>
      <c r="D14" s="222"/>
      <c r="E14" s="222"/>
      <c r="F14" s="225">
        <f>SUM(F9:F13)</f>
        <v>0</v>
      </c>
      <c r="G14" s="225">
        <f>SUM(G9:G13)</f>
        <v>0</v>
      </c>
      <c r="H14" s="435">
        <f>SUM(H9:H13)</f>
        <v>3680000</v>
      </c>
      <c r="J14" s="117" t="s">
        <v>595</v>
      </c>
      <c r="K14" s="117">
        <v>120000</v>
      </c>
      <c r="L14" s="117">
        <v>220000</v>
      </c>
    </row>
    <row r="15" spans="1:12" ht="12.75">
      <c r="A15" s="268"/>
      <c r="B15" s="268"/>
      <c r="C15" s="268"/>
      <c r="K15" s="117" t="s">
        <v>596</v>
      </c>
      <c r="L15" s="117" t="s">
        <v>597</v>
      </c>
    </row>
    <row r="17" spans="6:7" ht="12.75">
      <c r="F17" s="30"/>
      <c r="G17" s="30"/>
    </row>
  </sheetData>
  <sheetProtection/>
  <mergeCells count="11">
    <mergeCell ref="E6:E8"/>
    <mergeCell ref="A1:H1"/>
    <mergeCell ref="A2:H2"/>
    <mergeCell ref="A3:H3"/>
    <mergeCell ref="F6:F8"/>
    <mergeCell ref="G6:G8"/>
    <mergeCell ref="H6:H8"/>
    <mergeCell ref="A6:A8"/>
    <mergeCell ref="B6:B8"/>
    <mergeCell ref="A4:H4"/>
    <mergeCell ref="D6:D8"/>
  </mergeCells>
  <printOptions/>
  <pageMargins left="0.75" right="0.75" top="1" bottom="1" header="0" footer="0"/>
  <pageSetup orientation="landscape" scale="85" r:id="rId1"/>
</worksheet>
</file>

<file path=xl/worksheets/sheet6.xml><?xml version="1.0" encoding="utf-8"?>
<worksheet xmlns="http://schemas.openxmlformats.org/spreadsheetml/2006/main" xmlns:r="http://schemas.openxmlformats.org/officeDocument/2006/relationships">
  <dimension ref="A1:P37"/>
  <sheetViews>
    <sheetView showGridLines="0" zoomScale="180" zoomScaleNormal="180" workbookViewId="0" topLeftCell="A7">
      <selection activeCell="E13" sqref="E13"/>
    </sheetView>
  </sheetViews>
  <sheetFormatPr defaultColWidth="11.421875" defaultRowHeight="12.75"/>
  <cols>
    <col min="1" max="1" width="36.00390625" style="117" customWidth="1"/>
    <col min="2" max="2" width="8.140625" style="117" customWidth="1"/>
    <col min="3" max="3" width="13.57421875" style="117" customWidth="1"/>
    <col min="4" max="4" width="14.57421875" style="117" customWidth="1"/>
    <col min="5" max="5" width="11.421875" style="117" customWidth="1"/>
    <col min="6" max="6" width="13.421875" style="117" customWidth="1"/>
    <col min="7" max="7" width="12.7109375" style="117" customWidth="1"/>
    <col min="8" max="8" width="7.140625" style="117" customWidth="1"/>
    <col min="9" max="9" width="11.28125" style="117" customWidth="1"/>
    <col min="10" max="11" width="11.421875" style="117" customWidth="1"/>
    <col min="12" max="12" width="15.140625" style="117" customWidth="1"/>
    <col min="13" max="16384" width="11.421875" style="117" customWidth="1"/>
  </cols>
  <sheetData>
    <row r="1" spans="1:12" ht="12.75">
      <c r="A1" s="819" t="str">
        <f>+'ANEXO 1'!A1</f>
        <v>CARO PAZ SANTOS</v>
      </c>
      <c r="B1" s="800"/>
      <c r="C1" s="800"/>
      <c r="D1" s="800"/>
      <c r="E1" s="800"/>
      <c r="F1" s="800"/>
      <c r="G1" s="800"/>
      <c r="H1" s="800"/>
      <c r="I1" s="800"/>
      <c r="J1" s="800"/>
      <c r="K1" s="800"/>
      <c r="L1" s="801"/>
    </row>
    <row r="2" spans="1:12" ht="12.75">
      <c r="A2" s="813" t="s">
        <v>70</v>
      </c>
      <c r="B2" s="814"/>
      <c r="C2" s="814"/>
      <c r="D2" s="814"/>
      <c r="E2" s="814"/>
      <c r="F2" s="814"/>
      <c r="G2" s="814"/>
      <c r="H2" s="814"/>
      <c r="I2" s="814"/>
      <c r="J2" s="814"/>
      <c r="K2" s="814"/>
      <c r="L2" s="815"/>
    </row>
    <row r="3" spans="1:12" ht="12.75">
      <c r="A3" s="813" t="str">
        <f>+'ANEXO 1'!A3</f>
        <v>Año Gravable 2017</v>
      </c>
      <c r="B3" s="814"/>
      <c r="C3" s="814"/>
      <c r="D3" s="814"/>
      <c r="E3" s="814"/>
      <c r="F3" s="814"/>
      <c r="G3" s="814"/>
      <c r="H3" s="814"/>
      <c r="I3" s="814"/>
      <c r="J3" s="814"/>
      <c r="K3" s="814"/>
      <c r="L3" s="815"/>
    </row>
    <row r="4" spans="1:12" ht="12.75">
      <c r="A4" s="813" t="s">
        <v>428</v>
      </c>
      <c r="B4" s="814"/>
      <c r="C4" s="814"/>
      <c r="D4" s="814"/>
      <c r="E4" s="814"/>
      <c r="F4" s="814"/>
      <c r="G4" s="814"/>
      <c r="H4" s="814"/>
      <c r="I4" s="814"/>
      <c r="J4" s="814"/>
      <c r="K4" s="814"/>
      <c r="L4" s="815"/>
    </row>
    <row r="5" spans="1:12" ht="13.5" thickBot="1">
      <c r="A5" s="119"/>
      <c r="B5" s="120"/>
      <c r="C5" s="120"/>
      <c r="D5" s="120"/>
      <c r="E5" s="120"/>
      <c r="F5" s="120"/>
      <c r="G5" s="120"/>
      <c r="H5" s="120"/>
      <c r="I5" s="120"/>
      <c r="J5" s="120"/>
      <c r="K5" s="120"/>
      <c r="L5" s="122"/>
    </row>
    <row r="6" spans="1:12" ht="13.5" thickBot="1">
      <c r="A6" s="810" t="s">
        <v>23</v>
      </c>
      <c r="B6" s="810" t="s">
        <v>50</v>
      </c>
      <c r="C6" s="810" t="s">
        <v>31</v>
      </c>
      <c r="D6" s="810" t="s">
        <v>32</v>
      </c>
      <c r="E6" s="810" t="s">
        <v>33</v>
      </c>
      <c r="F6" s="810" t="s">
        <v>34</v>
      </c>
      <c r="G6" s="827" t="s">
        <v>287</v>
      </c>
      <c r="H6" s="835" t="s">
        <v>79</v>
      </c>
      <c r="I6" s="836"/>
      <c r="J6" s="830" t="s">
        <v>35</v>
      </c>
      <c r="K6" s="810" t="s">
        <v>16</v>
      </c>
      <c r="L6" s="810" t="s">
        <v>289</v>
      </c>
    </row>
    <row r="7" spans="1:12" ht="13.5" thickBot="1">
      <c r="A7" s="811"/>
      <c r="B7" s="811"/>
      <c r="C7" s="811"/>
      <c r="D7" s="812"/>
      <c r="E7" s="812"/>
      <c r="F7" s="812"/>
      <c r="G7" s="828"/>
      <c r="H7" s="823">
        <v>0.0407</v>
      </c>
      <c r="I7" s="810" t="s">
        <v>51</v>
      </c>
      <c r="J7" s="831"/>
      <c r="K7" s="811"/>
      <c r="L7" s="811"/>
    </row>
    <row r="8" spans="1:16" ht="13.5" thickBot="1">
      <c r="A8" s="812"/>
      <c r="B8" s="812"/>
      <c r="C8" s="829"/>
      <c r="D8" s="835">
        <v>43100</v>
      </c>
      <c r="E8" s="825"/>
      <c r="F8" s="826"/>
      <c r="G8" s="829"/>
      <c r="H8" s="840"/>
      <c r="I8" s="812"/>
      <c r="J8" s="832"/>
      <c r="K8" s="812"/>
      <c r="L8" s="812"/>
      <c r="O8" s="117">
        <v>2016</v>
      </c>
      <c r="P8" s="117">
        <v>2017</v>
      </c>
    </row>
    <row r="9" spans="1:16" ht="12.75">
      <c r="A9" s="214" t="s">
        <v>24</v>
      </c>
      <c r="B9" s="270"/>
      <c r="C9" s="215"/>
      <c r="D9" s="152"/>
      <c r="E9" s="134"/>
      <c r="F9" s="124"/>
      <c r="G9" s="218"/>
      <c r="H9" s="220"/>
      <c r="I9" s="124"/>
      <c r="J9" s="134"/>
      <c r="K9" s="218"/>
      <c r="L9" s="215"/>
      <c r="N9" s="117" t="s">
        <v>599</v>
      </c>
      <c r="O9" s="117">
        <v>500</v>
      </c>
      <c r="P9" s="117">
        <v>1100</v>
      </c>
    </row>
    <row r="10" spans="1:12" ht="12.75">
      <c r="A10" s="123"/>
      <c r="B10" s="271"/>
      <c r="C10" s="123"/>
      <c r="D10" s="152"/>
      <c r="E10" s="124"/>
      <c r="F10" s="124"/>
      <c r="G10" s="221"/>
      <c r="H10" s="230"/>
      <c r="I10" s="124">
        <f>+G10*$H$7</f>
        <v>0</v>
      </c>
      <c r="J10" s="124"/>
      <c r="K10" s="221"/>
      <c r="L10" s="124">
        <f>+G10+I10+J10-K10</f>
        <v>0</v>
      </c>
    </row>
    <row r="11" spans="1:12" ht="12.75">
      <c r="A11" s="123"/>
      <c r="B11" s="271"/>
      <c r="C11" s="123"/>
      <c r="D11" s="152"/>
      <c r="E11" s="124"/>
      <c r="F11" s="124"/>
      <c r="G11" s="221"/>
      <c r="H11" s="230"/>
      <c r="I11" s="124">
        <f>+G11*$H$7</f>
        <v>0</v>
      </c>
      <c r="J11" s="124"/>
      <c r="K11" s="221"/>
      <c r="L11" s="124">
        <f>+G11+I11+J11-K11</f>
        <v>0</v>
      </c>
    </row>
    <row r="12" spans="1:14" ht="12.75">
      <c r="A12" s="127" t="s">
        <v>25</v>
      </c>
      <c r="B12" s="271"/>
      <c r="C12" s="123"/>
      <c r="D12" s="152"/>
      <c r="E12" s="124"/>
      <c r="F12" s="124"/>
      <c r="G12" s="221"/>
      <c r="H12" s="220"/>
      <c r="I12" s="124"/>
      <c r="J12" s="124"/>
      <c r="K12" s="221"/>
      <c r="L12" s="123"/>
      <c r="N12" s="117" t="s">
        <v>600</v>
      </c>
    </row>
    <row r="13" spans="1:12" ht="12.75">
      <c r="A13" s="123" t="s">
        <v>358</v>
      </c>
      <c r="B13" s="271"/>
      <c r="C13" s="231">
        <v>40982</v>
      </c>
      <c r="D13" s="152">
        <v>280000000</v>
      </c>
      <c r="E13" s="124"/>
      <c r="F13" s="124"/>
      <c r="G13" s="221">
        <v>280000000</v>
      </c>
      <c r="H13" s="220"/>
      <c r="I13" s="124"/>
      <c r="J13" s="124"/>
      <c r="K13" s="221">
        <v>280000000</v>
      </c>
      <c r="L13" s="123">
        <v>0</v>
      </c>
    </row>
    <row r="14" spans="1:14" ht="12.75">
      <c r="A14" s="123" t="s">
        <v>359</v>
      </c>
      <c r="B14" s="269"/>
      <c r="C14" s="273">
        <v>42928</v>
      </c>
      <c r="D14" s="10">
        <v>480000000</v>
      </c>
      <c r="E14" s="124"/>
      <c r="F14" s="124">
        <v>480000000</v>
      </c>
      <c r="G14" s="124">
        <v>0</v>
      </c>
      <c r="H14" s="230"/>
      <c r="I14" s="124">
        <v>0</v>
      </c>
      <c r="J14" s="124">
        <f>+F14</f>
        <v>480000000</v>
      </c>
      <c r="K14" s="221">
        <v>0</v>
      </c>
      <c r="L14" s="124">
        <f>+D14</f>
        <v>480000000</v>
      </c>
      <c r="N14" s="117" t="s">
        <v>601</v>
      </c>
    </row>
    <row r="15" spans="1:14" ht="12.75">
      <c r="A15" s="123" t="s">
        <v>360</v>
      </c>
      <c r="B15" s="271"/>
      <c r="C15" s="273">
        <v>42928</v>
      </c>
      <c r="D15" s="152">
        <v>40000000</v>
      </c>
      <c r="E15" s="124"/>
      <c r="F15" s="124">
        <v>40000000</v>
      </c>
      <c r="G15" s="124">
        <v>0</v>
      </c>
      <c r="H15" s="230"/>
      <c r="I15" s="124">
        <f>+G15*H7</f>
        <v>0</v>
      </c>
      <c r="J15" s="124">
        <v>40000000</v>
      </c>
      <c r="K15" s="221">
        <v>0</v>
      </c>
      <c r="L15" s="124">
        <f>+J15</f>
        <v>40000000</v>
      </c>
      <c r="N15" s="117" t="s">
        <v>602</v>
      </c>
    </row>
    <row r="16" spans="1:12" ht="12.75">
      <c r="A16" s="123" t="s">
        <v>361</v>
      </c>
      <c r="B16" s="271"/>
      <c r="C16" s="231">
        <v>41894</v>
      </c>
      <c r="D16" s="152">
        <v>380000000</v>
      </c>
      <c r="E16" s="124"/>
      <c r="F16" s="124"/>
      <c r="G16" s="221">
        <v>350000000</v>
      </c>
      <c r="H16" s="230"/>
      <c r="I16" s="124">
        <v>0</v>
      </c>
      <c r="J16" s="124"/>
      <c r="K16" s="221"/>
      <c r="L16" s="124">
        <f>+D16</f>
        <v>380000000</v>
      </c>
    </row>
    <row r="17" spans="1:14" ht="12.75">
      <c r="A17" s="123"/>
      <c r="B17" s="271"/>
      <c r="C17" s="123"/>
      <c r="D17" s="152"/>
      <c r="E17" s="124"/>
      <c r="F17" s="124"/>
      <c r="G17" s="221"/>
      <c r="H17" s="230"/>
      <c r="I17" s="124"/>
      <c r="J17" s="124"/>
      <c r="K17" s="221"/>
      <c r="L17" s="124"/>
      <c r="N17" s="117" t="s">
        <v>603</v>
      </c>
    </row>
    <row r="18" spans="1:12" ht="12.75">
      <c r="A18" s="127" t="s">
        <v>26</v>
      </c>
      <c r="B18" s="271"/>
      <c r="C18" s="123"/>
      <c r="D18" s="152"/>
      <c r="E18" s="124"/>
      <c r="F18" s="124"/>
      <c r="G18" s="221"/>
      <c r="H18" s="220"/>
      <c r="I18" s="124"/>
      <c r="J18" s="124"/>
      <c r="K18" s="221"/>
      <c r="L18" s="123"/>
    </row>
    <row r="19" spans="1:12" ht="12.75">
      <c r="A19" s="123" t="s">
        <v>362</v>
      </c>
      <c r="B19" s="271">
        <v>100</v>
      </c>
      <c r="C19" s="123"/>
      <c r="D19" s="152">
        <v>335000000</v>
      </c>
      <c r="E19" s="124"/>
      <c r="F19" s="124"/>
      <c r="G19" s="221">
        <v>320000000</v>
      </c>
      <c r="H19" s="230"/>
      <c r="I19" s="124">
        <v>0</v>
      </c>
      <c r="J19" s="124"/>
      <c r="K19" s="221"/>
      <c r="L19" s="124">
        <f>+D19</f>
        <v>335000000</v>
      </c>
    </row>
    <row r="20" spans="1:12" ht="12.75">
      <c r="A20" s="123"/>
      <c r="B20" s="271"/>
      <c r="C20" s="123"/>
      <c r="D20" s="152"/>
      <c r="E20" s="124"/>
      <c r="F20" s="124"/>
      <c r="G20" s="221"/>
      <c r="H20" s="230"/>
      <c r="I20" s="124">
        <f aca="true" t="shared" si="0" ref="I20:I29">+G20*$H$7</f>
        <v>0</v>
      </c>
      <c r="J20" s="124"/>
      <c r="K20" s="221"/>
      <c r="L20" s="124">
        <f aca="true" t="shared" si="1" ref="L20:L29">+G20+I20+J20-K20</f>
        <v>0</v>
      </c>
    </row>
    <row r="21" spans="1:14" ht="12.75">
      <c r="A21" s="127" t="s">
        <v>27</v>
      </c>
      <c r="B21" s="271"/>
      <c r="C21" s="123"/>
      <c r="D21" s="152"/>
      <c r="E21" s="124"/>
      <c r="F21" s="124"/>
      <c r="G21" s="221"/>
      <c r="H21" s="220"/>
      <c r="I21" s="124"/>
      <c r="J21" s="124"/>
      <c r="K21" s="221"/>
      <c r="L21" s="123"/>
      <c r="N21" s="117" t="s">
        <v>604</v>
      </c>
    </row>
    <row r="22" spans="1:12" ht="12.75">
      <c r="A22" s="123" t="s">
        <v>430</v>
      </c>
      <c r="B22" s="271"/>
      <c r="C22" s="231">
        <v>42453</v>
      </c>
      <c r="D22" s="152">
        <v>64800000</v>
      </c>
      <c r="E22" s="124"/>
      <c r="F22" s="124"/>
      <c r="G22" s="124">
        <v>72000000</v>
      </c>
      <c r="H22" s="230"/>
      <c r="I22" s="124">
        <v>0</v>
      </c>
      <c r="J22" s="124">
        <v>0</v>
      </c>
      <c r="K22" s="221"/>
      <c r="L22" s="124">
        <f>+D22</f>
        <v>64800000</v>
      </c>
    </row>
    <row r="23" spans="1:12" ht="12.75">
      <c r="A23" s="123"/>
      <c r="B23" s="271"/>
      <c r="C23" s="123"/>
      <c r="D23" s="152"/>
      <c r="E23" s="124"/>
      <c r="F23" s="124"/>
      <c r="G23" s="221">
        <f>+E23</f>
        <v>0</v>
      </c>
      <c r="H23" s="230"/>
      <c r="I23" s="124">
        <f t="shared" si="0"/>
        <v>0</v>
      </c>
      <c r="J23" s="124">
        <v>0</v>
      </c>
      <c r="K23" s="221"/>
      <c r="L23" s="124">
        <f t="shared" si="1"/>
        <v>0</v>
      </c>
    </row>
    <row r="24" spans="1:12" ht="12.75">
      <c r="A24" s="123"/>
      <c r="B24" s="271"/>
      <c r="C24" s="123"/>
      <c r="D24" s="152"/>
      <c r="E24" s="124"/>
      <c r="F24" s="124"/>
      <c r="G24" s="221"/>
      <c r="H24" s="230"/>
      <c r="I24" s="124">
        <f t="shared" si="0"/>
        <v>0</v>
      </c>
      <c r="J24" s="124"/>
      <c r="K24" s="221"/>
      <c r="L24" s="124">
        <f t="shared" si="1"/>
        <v>0</v>
      </c>
    </row>
    <row r="25" spans="1:12" ht="12.75">
      <c r="A25" s="127" t="s">
        <v>28</v>
      </c>
      <c r="B25" s="271"/>
      <c r="C25" s="123"/>
      <c r="D25" s="152"/>
      <c r="E25" s="124"/>
      <c r="F25" s="124"/>
      <c r="G25" s="221"/>
      <c r="H25" s="220"/>
      <c r="I25" s="124"/>
      <c r="J25" s="124"/>
      <c r="K25" s="221"/>
      <c r="L25" s="123"/>
    </row>
    <row r="26" spans="1:12" ht="12.75">
      <c r="A26" s="123"/>
      <c r="B26" s="271"/>
      <c r="C26" s="123"/>
      <c r="D26" s="152"/>
      <c r="E26" s="124"/>
      <c r="F26" s="124"/>
      <c r="G26" s="221"/>
      <c r="H26" s="230"/>
      <c r="I26" s="124">
        <f t="shared" si="0"/>
        <v>0</v>
      </c>
      <c r="J26" s="124"/>
      <c r="K26" s="221"/>
      <c r="L26" s="124">
        <f t="shared" si="1"/>
        <v>0</v>
      </c>
    </row>
    <row r="27" spans="1:12" ht="12.75">
      <c r="A27" s="123"/>
      <c r="B27" s="271"/>
      <c r="C27" s="123"/>
      <c r="D27" s="152"/>
      <c r="E27" s="124"/>
      <c r="F27" s="124"/>
      <c r="G27" s="221"/>
      <c r="H27" s="230"/>
      <c r="I27" s="124">
        <f t="shared" si="0"/>
        <v>0</v>
      </c>
      <c r="J27" s="124"/>
      <c r="K27" s="221"/>
      <c r="L27" s="124">
        <f t="shared" si="1"/>
        <v>0</v>
      </c>
    </row>
    <row r="28" spans="1:12" ht="12.75">
      <c r="A28" s="127" t="s">
        <v>29</v>
      </c>
      <c r="B28" s="271"/>
      <c r="C28" s="123"/>
      <c r="D28" s="152"/>
      <c r="E28" s="124"/>
      <c r="F28" s="124"/>
      <c r="G28" s="221"/>
      <c r="H28" s="220"/>
      <c r="I28" s="124"/>
      <c r="J28" s="124"/>
      <c r="K28" s="221"/>
      <c r="L28" s="123"/>
    </row>
    <row r="29" spans="1:12" ht="13.5" thickBot="1">
      <c r="A29" s="123"/>
      <c r="B29" s="271"/>
      <c r="C29" s="272"/>
      <c r="D29" s="152"/>
      <c r="E29" s="157"/>
      <c r="F29" s="124"/>
      <c r="G29" s="221"/>
      <c r="H29" s="230"/>
      <c r="I29" s="124">
        <f t="shared" si="0"/>
        <v>0</v>
      </c>
      <c r="J29" s="124"/>
      <c r="K29" s="221"/>
      <c r="L29" s="124">
        <f t="shared" si="1"/>
        <v>0</v>
      </c>
    </row>
    <row r="30" spans="1:12" ht="13.5" thickBot="1">
      <c r="A30" s="163" t="s">
        <v>30</v>
      </c>
      <c r="B30" s="224"/>
      <c r="C30" s="222"/>
      <c r="D30" s="148">
        <f>SUM(D10:D29)</f>
        <v>1579800000</v>
      </c>
      <c r="E30" s="148">
        <f>SUM(E10:E29)</f>
        <v>0</v>
      </c>
      <c r="F30" s="222"/>
      <c r="G30" s="148">
        <f>SUM(G10:G29)</f>
        <v>1022000000</v>
      </c>
      <c r="H30" s="224"/>
      <c r="I30" s="148">
        <f>SUM(I10:I29)</f>
        <v>0</v>
      </c>
      <c r="J30" s="439">
        <f>SUM(J10:J29)</f>
        <v>520000000</v>
      </c>
      <c r="K30" s="439">
        <f>SUM(K10:K29)</f>
        <v>280000000</v>
      </c>
      <c r="L30" s="148">
        <f>SUM(L10:L29)</f>
        <v>1299800000</v>
      </c>
    </row>
    <row r="31" spans="1:12" ht="12.75">
      <c r="A31" s="833" t="s">
        <v>71</v>
      </c>
      <c r="L31" s="838">
        <f>+'ANEXO 1'!H21+'ANEXO 2'!N13+'ANEXO 3'!H14+'ANEXO 4'!L30</f>
        <v>2020919319</v>
      </c>
    </row>
    <row r="32" spans="1:12" ht="13.5" thickBot="1">
      <c r="A32" s="834"/>
      <c r="G32" s="837" t="s">
        <v>485</v>
      </c>
      <c r="H32" s="837"/>
      <c r="I32" s="837"/>
      <c r="L32" s="839"/>
    </row>
    <row r="33" ht="13.5" thickBot="1"/>
    <row r="34" spans="11:12" ht="13.5" thickBot="1">
      <c r="K34" s="293"/>
      <c r="L34" s="335" t="s">
        <v>429</v>
      </c>
    </row>
    <row r="36" ht="12.75">
      <c r="L36" s="30"/>
    </row>
    <row r="37" ht="12.75">
      <c r="L37" s="30"/>
    </row>
  </sheetData>
  <sheetProtection/>
  <mergeCells count="21">
    <mergeCell ref="L31:L32"/>
    <mergeCell ref="H7:H8"/>
    <mergeCell ref="I7:I8"/>
    <mergeCell ref="C6:C8"/>
    <mergeCell ref="A31:A32"/>
    <mergeCell ref="A6:A8"/>
    <mergeCell ref="L6:L8"/>
    <mergeCell ref="B6:B8"/>
    <mergeCell ref="H6:I6"/>
    <mergeCell ref="A4:L4"/>
    <mergeCell ref="D8:F8"/>
    <mergeCell ref="D6:D7"/>
    <mergeCell ref="E6:E7"/>
    <mergeCell ref="G32:I32"/>
    <mergeCell ref="F6:F7"/>
    <mergeCell ref="A1:L1"/>
    <mergeCell ref="A2:L2"/>
    <mergeCell ref="A3:L3"/>
    <mergeCell ref="J6:J8"/>
    <mergeCell ref="K6:K8"/>
    <mergeCell ref="G6:G8"/>
  </mergeCells>
  <printOptions/>
  <pageMargins left="0.7480314960629921" right="0.7480314960629921" top="0.984251968503937" bottom="0.984251968503937" header="0" footer="0"/>
  <pageSetup horizontalDpi="600" verticalDpi="600" orientation="landscape" scale="70" r:id="rId1"/>
</worksheet>
</file>

<file path=xl/worksheets/sheet7.xml><?xml version="1.0" encoding="utf-8"?>
<worksheet xmlns="http://schemas.openxmlformats.org/spreadsheetml/2006/main" xmlns:r="http://schemas.openxmlformats.org/officeDocument/2006/relationships">
  <dimension ref="A1:O22"/>
  <sheetViews>
    <sheetView showGridLines="0" zoomScale="150" zoomScaleNormal="150" zoomScalePageLayoutView="0" workbookViewId="0" topLeftCell="A1">
      <selection activeCell="A24" sqref="A24"/>
    </sheetView>
  </sheetViews>
  <sheetFormatPr defaultColWidth="11.57421875" defaultRowHeight="12.75"/>
  <cols>
    <col min="1" max="1" width="39.28125" style="117" bestFit="1" customWidth="1"/>
    <col min="2" max="2" width="12.421875" style="117" customWidth="1"/>
    <col min="3" max="3" width="3.421875" style="117" customWidth="1"/>
    <col min="4" max="4" width="13.421875" style="117" customWidth="1"/>
    <col min="5" max="5" width="14.28125" style="117" customWidth="1"/>
    <col min="6" max="6" width="13.140625" style="117" customWidth="1"/>
    <col min="7" max="7" width="11.57421875" style="117" customWidth="1"/>
    <col min="8" max="8" width="15.57421875" style="117" customWidth="1"/>
    <col min="9" max="9" width="12.8515625" style="117" customWidth="1"/>
    <col min="10" max="16384" width="11.57421875" style="117" customWidth="1"/>
  </cols>
  <sheetData>
    <row r="1" spans="1:9" ht="12.75">
      <c r="A1" s="819" t="str">
        <f>+'ANEXO 1'!A1</f>
        <v>CARO PAZ SANTOS</v>
      </c>
      <c r="B1" s="800"/>
      <c r="C1" s="800"/>
      <c r="D1" s="800"/>
      <c r="E1" s="800"/>
      <c r="F1" s="800"/>
      <c r="G1" s="800"/>
      <c r="H1" s="800"/>
      <c r="I1" s="801"/>
    </row>
    <row r="2" spans="1:9" ht="12.75">
      <c r="A2" s="813" t="s">
        <v>39</v>
      </c>
      <c r="B2" s="814"/>
      <c r="C2" s="814"/>
      <c r="D2" s="814"/>
      <c r="E2" s="814"/>
      <c r="F2" s="814"/>
      <c r="G2" s="814"/>
      <c r="H2" s="814"/>
      <c r="I2" s="815"/>
    </row>
    <row r="3" spans="1:9" ht="12.75">
      <c r="A3" s="813" t="str">
        <f>+'ANEXO 1'!A3</f>
        <v>Año Gravable 2017</v>
      </c>
      <c r="B3" s="814"/>
      <c r="C3" s="814"/>
      <c r="D3" s="814"/>
      <c r="E3" s="814"/>
      <c r="F3" s="814"/>
      <c r="G3" s="814"/>
      <c r="H3" s="814"/>
      <c r="I3" s="815"/>
    </row>
    <row r="4" spans="1:9" ht="12.75">
      <c r="A4" s="813" t="s">
        <v>450</v>
      </c>
      <c r="B4" s="814"/>
      <c r="C4" s="814"/>
      <c r="D4" s="814"/>
      <c r="E4" s="814"/>
      <c r="F4" s="814"/>
      <c r="G4" s="814"/>
      <c r="H4" s="814"/>
      <c r="I4" s="815"/>
    </row>
    <row r="5" spans="1:9" ht="13.5" thickBot="1">
      <c r="A5" s="119"/>
      <c r="B5" s="120"/>
      <c r="C5" s="120"/>
      <c r="D5" s="120"/>
      <c r="E5" s="120"/>
      <c r="F5" s="120"/>
      <c r="G5" s="120"/>
      <c r="H5" s="120"/>
      <c r="I5" s="122"/>
    </row>
    <row r="6" spans="1:9" ht="12.75">
      <c r="A6" s="810" t="s">
        <v>39</v>
      </c>
      <c r="B6" s="810" t="s">
        <v>72</v>
      </c>
      <c r="C6" s="810" t="s">
        <v>73</v>
      </c>
      <c r="D6" s="810" t="s">
        <v>31</v>
      </c>
      <c r="E6" s="827" t="s">
        <v>37</v>
      </c>
      <c r="F6" s="827" t="s">
        <v>287</v>
      </c>
      <c r="G6" s="810" t="s">
        <v>38</v>
      </c>
      <c r="H6" s="830" t="s">
        <v>74</v>
      </c>
      <c r="I6" s="810" t="s">
        <v>289</v>
      </c>
    </row>
    <row r="7" spans="1:9" ht="12.75">
      <c r="A7" s="811"/>
      <c r="B7" s="811"/>
      <c r="C7" s="811"/>
      <c r="D7" s="811"/>
      <c r="E7" s="828"/>
      <c r="F7" s="828"/>
      <c r="G7" s="811"/>
      <c r="H7" s="831"/>
      <c r="I7" s="811"/>
    </row>
    <row r="8" spans="1:9" ht="13.5" thickBot="1">
      <c r="A8" s="812"/>
      <c r="B8" s="812"/>
      <c r="C8" s="812"/>
      <c r="D8" s="829"/>
      <c r="E8" s="829"/>
      <c r="F8" s="829"/>
      <c r="G8" s="812"/>
      <c r="H8" s="832"/>
      <c r="I8" s="812"/>
    </row>
    <row r="9" spans="1:15" ht="12.75">
      <c r="A9" s="123" t="s">
        <v>363</v>
      </c>
      <c r="B9" s="134"/>
      <c r="C9" s="215"/>
      <c r="D9" s="274">
        <v>42928</v>
      </c>
      <c r="E9" s="231">
        <v>50233</v>
      </c>
      <c r="F9" s="221">
        <v>0</v>
      </c>
      <c r="G9" s="124"/>
      <c r="H9" s="218"/>
      <c r="I9" s="134">
        <f>+INFORMACION!C30</f>
        <v>209959357</v>
      </c>
      <c r="K9" s="117" t="s">
        <v>605</v>
      </c>
      <c r="O9" s="117" t="s">
        <v>606</v>
      </c>
    </row>
    <row r="10" spans="1:15" ht="12.75">
      <c r="A10" s="123" t="s">
        <v>363</v>
      </c>
      <c r="B10" s="124"/>
      <c r="C10" s="123"/>
      <c r="D10" s="231">
        <v>40982</v>
      </c>
      <c r="E10" s="231">
        <v>42808</v>
      </c>
      <c r="F10" s="221">
        <v>200000000</v>
      </c>
      <c r="G10" s="124"/>
      <c r="H10" s="221">
        <v>-200000000</v>
      </c>
      <c r="I10" s="124">
        <v>0</v>
      </c>
      <c r="O10" s="117" t="s">
        <v>607</v>
      </c>
    </row>
    <row r="11" spans="1:9" ht="12.75">
      <c r="A11" s="123" t="s">
        <v>364</v>
      </c>
      <c r="B11" s="124"/>
      <c r="C11" s="123"/>
      <c r="D11" s="231">
        <v>42379</v>
      </c>
      <c r="E11" s="231">
        <v>43141</v>
      </c>
      <c r="F11" s="221">
        <v>100000000</v>
      </c>
      <c r="G11" s="124"/>
      <c r="H11" s="221">
        <f>+I11-F11</f>
        <v>-91301255</v>
      </c>
      <c r="I11" s="124">
        <f>+INFORMACION!C31</f>
        <v>8698745</v>
      </c>
    </row>
    <row r="12" spans="1:9" ht="12.75">
      <c r="A12" s="123" t="s">
        <v>365</v>
      </c>
      <c r="B12" s="124"/>
      <c r="C12" s="123"/>
      <c r="D12" s="231">
        <v>42583</v>
      </c>
      <c r="E12" s="231">
        <v>43160</v>
      </c>
      <c r="F12" s="124">
        <v>20000000</v>
      </c>
      <c r="G12" s="124"/>
      <c r="H12" s="221">
        <f>+F12-I12</f>
        <v>13112000</v>
      </c>
      <c r="I12" s="124">
        <f>+INFORMACION!C32</f>
        <v>6888000</v>
      </c>
    </row>
    <row r="13" spans="1:9" ht="12.75">
      <c r="A13" s="123" t="s">
        <v>366</v>
      </c>
      <c r="B13" s="124"/>
      <c r="C13" s="123"/>
      <c r="D13" s="231">
        <v>42583</v>
      </c>
      <c r="E13" s="231">
        <v>43105</v>
      </c>
      <c r="F13" s="221">
        <v>19458987</v>
      </c>
      <c r="G13" s="124"/>
      <c r="H13" s="221"/>
      <c r="I13" s="124">
        <f>+INFORMACION!C33</f>
        <v>9458987</v>
      </c>
    </row>
    <row r="14" spans="1:9" ht="12.75">
      <c r="A14" s="123"/>
      <c r="B14" s="124"/>
      <c r="C14" s="123"/>
      <c r="D14" s="123"/>
      <c r="E14" s="123"/>
      <c r="F14" s="221">
        <v>0</v>
      </c>
      <c r="G14" s="124"/>
      <c r="H14" s="221">
        <f>-INFORMACION!C34</f>
        <v>-13589000</v>
      </c>
      <c r="I14" s="124">
        <v>0</v>
      </c>
    </row>
    <row r="15" spans="1:9" ht="13.5" thickBot="1">
      <c r="A15" s="123"/>
      <c r="B15" s="124"/>
      <c r="C15" s="123"/>
      <c r="D15" s="123"/>
      <c r="E15" s="123"/>
      <c r="F15" s="221"/>
      <c r="G15" s="124"/>
      <c r="H15" s="221"/>
      <c r="I15" s="124">
        <v>0</v>
      </c>
    </row>
    <row r="16" spans="1:9" ht="13.5" thickBot="1">
      <c r="A16" s="163" t="s">
        <v>30</v>
      </c>
      <c r="B16" s="222"/>
      <c r="C16" s="222"/>
      <c r="D16" s="222"/>
      <c r="E16" s="222"/>
      <c r="F16" s="225">
        <f>SUM(F9:F15)</f>
        <v>339458987</v>
      </c>
      <c r="G16" s="225">
        <f>SUM(G9:G15)</f>
        <v>0</v>
      </c>
      <c r="H16" s="225">
        <f>SUM(H9:H15)</f>
        <v>-291778255</v>
      </c>
      <c r="I16" s="435">
        <f>SUM(I9:I15)</f>
        <v>235005089</v>
      </c>
    </row>
    <row r="17" spans="1:4" ht="12.75">
      <c r="A17" s="841" t="s">
        <v>486</v>
      </c>
      <c r="B17" s="841"/>
      <c r="C17" s="841"/>
      <c r="D17" s="841"/>
    </row>
    <row r="18" ht="12.75">
      <c r="I18" s="336" t="s">
        <v>431</v>
      </c>
    </row>
    <row r="19" ht="12.75">
      <c r="H19" s="30"/>
    </row>
    <row r="21" spans="1:2" ht="12.75">
      <c r="A21" s="117" t="s">
        <v>608</v>
      </c>
      <c r="B21" s="117" t="s">
        <v>610</v>
      </c>
    </row>
    <row r="22" spans="1:2" ht="12.75">
      <c r="A22" s="117" t="s">
        <v>609</v>
      </c>
      <c r="B22" s="117" t="s">
        <v>610</v>
      </c>
    </row>
  </sheetData>
  <sheetProtection/>
  <mergeCells count="14">
    <mergeCell ref="A1:I1"/>
    <mergeCell ref="A2:I2"/>
    <mergeCell ref="A3:I3"/>
    <mergeCell ref="C6:C8"/>
    <mergeCell ref="F6:F8"/>
    <mergeCell ref="G6:G8"/>
    <mergeCell ref="H6:H8"/>
    <mergeCell ref="I6:I8"/>
    <mergeCell ref="A6:A8"/>
    <mergeCell ref="B6:B8"/>
    <mergeCell ref="D6:D8"/>
    <mergeCell ref="E6:E8"/>
    <mergeCell ref="A17:D17"/>
    <mergeCell ref="A4:I4"/>
  </mergeCells>
  <printOptions/>
  <pageMargins left="0.7480314960629921" right="0.7480314960629921" top="0.984251968503937" bottom="0.984251968503937" header="0" footer="0"/>
  <pageSetup orientation="landscape" scale="85" r:id="rId1"/>
</worksheet>
</file>

<file path=xl/worksheets/sheet8.xml><?xml version="1.0" encoding="utf-8"?>
<worksheet xmlns="http://schemas.openxmlformats.org/spreadsheetml/2006/main" xmlns:r="http://schemas.openxmlformats.org/officeDocument/2006/relationships">
  <dimension ref="A1:K113"/>
  <sheetViews>
    <sheetView showGridLines="0" zoomScale="150" zoomScaleNormal="150" zoomScalePageLayoutView="0" workbookViewId="0" topLeftCell="A90">
      <selection activeCell="A98" sqref="A98"/>
    </sheetView>
  </sheetViews>
  <sheetFormatPr defaultColWidth="11.421875" defaultRowHeight="12.75"/>
  <cols>
    <col min="1" max="1" width="44.28125" style="117" customWidth="1"/>
    <col min="2" max="2" width="13.7109375" style="117" customWidth="1"/>
    <col min="3" max="3" width="14.7109375" style="170" customWidth="1"/>
    <col min="4" max="4" width="14.7109375" style="117" customWidth="1"/>
    <col min="5" max="5" width="15.8515625" style="117" customWidth="1"/>
    <col min="6" max="8" width="14.7109375" style="117" customWidth="1"/>
    <col min="9" max="16384" width="11.421875" style="117" customWidth="1"/>
  </cols>
  <sheetData>
    <row r="1" spans="1:8" ht="12.75">
      <c r="A1" s="819" t="str">
        <f>+'ANEXO 1'!A1</f>
        <v>CARO PAZ SANTOS</v>
      </c>
      <c r="B1" s="800"/>
      <c r="C1" s="800"/>
      <c r="D1" s="800"/>
      <c r="E1" s="800"/>
      <c r="F1" s="800"/>
      <c r="G1" s="800"/>
      <c r="H1" s="801"/>
    </row>
    <row r="2" spans="1:8" ht="12.75">
      <c r="A2" s="813" t="s">
        <v>171</v>
      </c>
      <c r="B2" s="814"/>
      <c r="C2" s="814"/>
      <c r="D2" s="814"/>
      <c r="E2" s="814"/>
      <c r="F2" s="814"/>
      <c r="G2" s="814"/>
      <c r="H2" s="815"/>
    </row>
    <row r="3" spans="1:8" ht="12.75">
      <c r="A3" s="813" t="s">
        <v>229</v>
      </c>
      <c r="B3" s="814"/>
      <c r="C3" s="814"/>
      <c r="D3" s="814"/>
      <c r="E3" s="814"/>
      <c r="F3" s="814"/>
      <c r="G3" s="814"/>
      <c r="H3" s="815"/>
    </row>
    <row r="4" spans="1:8" ht="12.75">
      <c r="A4" s="813" t="str">
        <f>+'ANEXO 1'!A3</f>
        <v>Año Gravable 2017</v>
      </c>
      <c r="B4" s="814"/>
      <c r="C4" s="814"/>
      <c r="D4" s="814"/>
      <c r="E4" s="814"/>
      <c r="F4" s="814"/>
      <c r="G4" s="814"/>
      <c r="H4" s="815"/>
    </row>
    <row r="5" spans="1:8" ht="12.75">
      <c r="A5" s="813" t="s">
        <v>451</v>
      </c>
      <c r="B5" s="814"/>
      <c r="C5" s="814"/>
      <c r="D5" s="814"/>
      <c r="E5" s="814"/>
      <c r="F5" s="814"/>
      <c r="G5" s="814"/>
      <c r="H5" s="815"/>
    </row>
    <row r="6" spans="1:8" ht="13.5" thickBot="1">
      <c r="A6" s="119"/>
      <c r="B6" s="120"/>
      <c r="C6" s="121"/>
      <c r="D6" s="120"/>
      <c r="E6" s="120"/>
      <c r="F6" s="120"/>
      <c r="G6" s="120"/>
      <c r="H6" s="122"/>
    </row>
    <row r="7" spans="1:8" ht="12.75" customHeight="1">
      <c r="A7" s="811" t="s">
        <v>45</v>
      </c>
      <c r="B7" s="811" t="s">
        <v>40</v>
      </c>
      <c r="C7" s="811" t="s">
        <v>41</v>
      </c>
      <c r="D7" s="811" t="s">
        <v>42</v>
      </c>
      <c r="E7" s="811" t="s">
        <v>43</v>
      </c>
      <c r="F7" s="811" t="s">
        <v>44</v>
      </c>
      <c r="G7" s="811" t="s">
        <v>99</v>
      </c>
      <c r="H7" s="811" t="s">
        <v>196</v>
      </c>
    </row>
    <row r="8" spans="1:8" ht="31.5" customHeight="1" thickBot="1">
      <c r="A8" s="812"/>
      <c r="B8" s="812"/>
      <c r="C8" s="812"/>
      <c r="D8" s="812"/>
      <c r="E8" s="812"/>
      <c r="F8" s="812"/>
      <c r="G8" s="812"/>
      <c r="H8" s="812"/>
    </row>
    <row r="9" spans="1:8" ht="13.5" thickBot="1">
      <c r="A9" s="849" t="s">
        <v>176</v>
      </c>
      <c r="B9" s="850"/>
      <c r="C9" s="850"/>
      <c r="D9" s="850"/>
      <c r="E9" s="850"/>
      <c r="F9" s="850"/>
      <c r="G9" s="850"/>
      <c r="H9" s="853"/>
    </row>
    <row r="10" spans="1:8" ht="12.75">
      <c r="A10" s="123" t="s">
        <v>180</v>
      </c>
      <c r="B10" s="124">
        <f>+INFORMACION!C39</f>
        <v>150000000</v>
      </c>
      <c r="C10" s="125">
        <v>0</v>
      </c>
      <c r="D10" s="124">
        <f>SUM(B10:C10)</f>
        <v>150000000</v>
      </c>
      <c r="E10" s="124">
        <v>0</v>
      </c>
      <c r="F10" s="124">
        <f>+C10</f>
        <v>0</v>
      </c>
      <c r="G10" s="124"/>
      <c r="H10" s="124">
        <v>11466000</v>
      </c>
    </row>
    <row r="11" spans="1:8" ht="12.75">
      <c r="A11" s="123" t="s">
        <v>188</v>
      </c>
      <c r="B11" s="124">
        <v>0</v>
      </c>
      <c r="C11" s="125"/>
      <c r="D11" s="124">
        <f aca="true" t="shared" si="0" ref="D11:D23">SUM(B11:C11)</f>
        <v>0</v>
      </c>
      <c r="E11" s="124"/>
      <c r="F11" s="124"/>
      <c r="G11" s="124"/>
      <c r="H11" s="124"/>
    </row>
    <row r="12" spans="1:8" ht="12.75">
      <c r="A12" s="123" t="s">
        <v>189</v>
      </c>
      <c r="B12" s="124">
        <v>0</v>
      </c>
      <c r="C12" s="125"/>
      <c r="D12" s="124">
        <f t="shared" si="0"/>
        <v>0</v>
      </c>
      <c r="E12" s="124"/>
      <c r="F12" s="124"/>
      <c r="G12" s="124"/>
      <c r="H12" s="124"/>
    </row>
    <row r="13" spans="1:8" ht="12.75">
      <c r="A13" s="123" t="s">
        <v>186</v>
      </c>
      <c r="B13" s="124">
        <v>0</v>
      </c>
      <c r="C13" s="125"/>
      <c r="D13" s="124">
        <f t="shared" si="0"/>
        <v>0</v>
      </c>
      <c r="E13" s="124"/>
      <c r="F13" s="124"/>
      <c r="G13" s="124"/>
      <c r="H13" s="124"/>
    </row>
    <row r="14" spans="1:9" ht="12.75">
      <c r="A14" s="123" t="s">
        <v>611</v>
      </c>
      <c r="B14" s="124">
        <v>0</v>
      </c>
      <c r="C14" s="125">
        <v>12500000</v>
      </c>
      <c r="D14" s="124">
        <f t="shared" si="0"/>
        <v>12500000</v>
      </c>
      <c r="E14" s="124"/>
      <c r="F14" s="124">
        <f>+C14</f>
        <v>12500000</v>
      </c>
      <c r="G14" s="124"/>
      <c r="H14" s="124"/>
      <c r="I14" s="117" t="s">
        <v>612</v>
      </c>
    </row>
    <row r="15" spans="1:9" ht="12.75">
      <c r="A15" s="123" t="s">
        <v>613</v>
      </c>
      <c r="B15" s="124">
        <v>0</v>
      </c>
      <c r="C15" s="125">
        <v>6500000</v>
      </c>
      <c r="D15" s="124">
        <f t="shared" si="0"/>
        <v>6500000</v>
      </c>
      <c r="E15" s="124"/>
      <c r="F15" s="124">
        <f>+C15</f>
        <v>6500000</v>
      </c>
      <c r="G15" s="124"/>
      <c r="H15" s="124"/>
      <c r="I15" s="117" t="s">
        <v>614</v>
      </c>
    </row>
    <row r="16" spans="1:9" ht="12.75">
      <c r="A16" s="123" t="s">
        <v>181</v>
      </c>
      <c r="B16" s="124">
        <v>0</v>
      </c>
      <c r="C16" s="125">
        <v>1500000</v>
      </c>
      <c r="D16" s="124">
        <f t="shared" si="0"/>
        <v>1500000</v>
      </c>
      <c r="E16" s="124"/>
      <c r="F16" s="124">
        <f>+C16</f>
        <v>1500000</v>
      </c>
      <c r="G16" s="124"/>
      <c r="H16" s="124"/>
      <c r="I16" s="117" t="s">
        <v>614</v>
      </c>
    </row>
    <row r="17" spans="1:8" ht="12.75">
      <c r="A17" s="123" t="s">
        <v>177</v>
      </c>
      <c r="B17" s="124">
        <v>12500000</v>
      </c>
      <c r="C17" s="125"/>
      <c r="D17" s="124">
        <f t="shared" si="0"/>
        <v>12500000</v>
      </c>
      <c r="E17" s="124"/>
      <c r="F17" s="124"/>
      <c r="G17" s="124"/>
      <c r="H17" s="124"/>
    </row>
    <row r="18" spans="1:8" ht="12.75">
      <c r="A18" s="123" t="s">
        <v>175</v>
      </c>
      <c r="B18" s="124">
        <v>14167000</v>
      </c>
      <c r="C18" s="125"/>
      <c r="D18" s="124">
        <f t="shared" si="0"/>
        <v>14167000</v>
      </c>
      <c r="E18" s="124"/>
      <c r="F18" s="124"/>
      <c r="G18" s="124"/>
      <c r="H18" s="124"/>
    </row>
    <row r="19" spans="1:8" ht="12.75">
      <c r="A19" s="123" t="s">
        <v>173</v>
      </c>
      <c r="B19" s="124">
        <v>0</v>
      </c>
      <c r="C19" s="125"/>
      <c r="D19" s="124">
        <f t="shared" si="0"/>
        <v>0</v>
      </c>
      <c r="E19" s="124"/>
      <c r="F19" s="124"/>
      <c r="G19" s="124"/>
      <c r="H19" s="124"/>
    </row>
    <row r="20" spans="1:8" ht="12.75">
      <c r="A20" s="123" t="s">
        <v>174</v>
      </c>
      <c r="B20" s="124">
        <v>0</v>
      </c>
      <c r="C20" s="125">
        <v>0</v>
      </c>
      <c r="D20" s="124">
        <f t="shared" si="0"/>
        <v>0</v>
      </c>
      <c r="E20" s="124">
        <v>0</v>
      </c>
      <c r="F20" s="124">
        <v>0</v>
      </c>
      <c r="G20" s="124">
        <f>+C20</f>
        <v>0</v>
      </c>
      <c r="H20" s="124"/>
    </row>
    <row r="21" spans="1:8" ht="12.75">
      <c r="A21" s="123" t="s">
        <v>179</v>
      </c>
      <c r="B21" s="124">
        <v>0</v>
      </c>
      <c r="C21" s="125"/>
      <c r="D21" s="124">
        <f t="shared" si="0"/>
        <v>0</v>
      </c>
      <c r="E21" s="124">
        <f>MIN(D21,1306000)</f>
        <v>0</v>
      </c>
      <c r="F21" s="124"/>
      <c r="G21" s="124"/>
      <c r="H21" s="124"/>
    </row>
    <row r="22" spans="1:8" ht="12.75">
      <c r="A22" s="123" t="s">
        <v>178</v>
      </c>
      <c r="B22" s="124">
        <v>0</v>
      </c>
      <c r="C22" s="125"/>
      <c r="D22" s="124">
        <f t="shared" si="0"/>
        <v>0</v>
      </c>
      <c r="E22" s="124"/>
      <c r="F22" s="124"/>
      <c r="G22" s="124"/>
      <c r="H22" s="124"/>
    </row>
    <row r="23" spans="1:11" ht="12.75">
      <c r="A23" s="123" t="s">
        <v>187</v>
      </c>
      <c r="B23" s="124">
        <v>0</v>
      </c>
      <c r="C23" s="125">
        <f>+INFORMACION!C42</f>
        <v>0</v>
      </c>
      <c r="D23" s="124">
        <f t="shared" si="0"/>
        <v>0</v>
      </c>
      <c r="E23" s="124">
        <f>+C23</f>
        <v>0</v>
      </c>
      <c r="F23" s="124"/>
      <c r="G23" s="124"/>
      <c r="H23" s="124"/>
      <c r="K23" s="126"/>
    </row>
    <row r="24" spans="1:8" ht="12.75">
      <c r="A24" s="123"/>
      <c r="B24" s="124">
        <v>0</v>
      </c>
      <c r="C24" s="125">
        <v>0</v>
      </c>
      <c r="D24" s="124">
        <f>SUM(B24:C24)</f>
        <v>0</v>
      </c>
      <c r="E24" s="124"/>
      <c r="F24" s="124">
        <f>+D24</f>
        <v>0</v>
      </c>
      <c r="G24" s="124"/>
      <c r="H24" s="124"/>
    </row>
    <row r="25" spans="1:8" ht="12.75">
      <c r="A25" s="127" t="s">
        <v>182</v>
      </c>
      <c r="B25" s="128">
        <f aca="true" t="shared" si="1" ref="B25:H25">SUM(B10:B24)</f>
        <v>176667000</v>
      </c>
      <c r="C25" s="129">
        <f t="shared" si="1"/>
        <v>20500000</v>
      </c>
      <c r="D25" s="440">
        <f t="shared" si="1"/>
        <v>197167000</v>
      </c>
      <c r="E25" s="128">
        <f t="shared" si="1"/>
        <v>0</v>
      </c>
      <c r="F25" s="128">
        <f t="shared" si="1"/>
        <v>20500000</v>
      </c>
      <c r="G25" s="128">
        <f t="shared" si="1"/>
        <v>0</v>
      </c>
      <c r="H25" s="128">
        <f t="shared" si="1"/>
        <v>11466000</v>
      </c>
    </row>
    <row r="26" spans="1:8" ht="13.5" thickBot="1">
      <c r="A26" s="127"/>
      <c r="B26" s="124"/>
      <c r="C26" s="125"/>
      <c r="D26" s="300" t="s">
        <v>452</v>
      </c>
      <c r="E26" s="124"/>
      <c r="F26" s="124"/>
      <c r="G26" s="124"/>
      <c r="H26" s="316" t="s">
        <v>464</v>
      </c>
    </row>
    <row r="27" spans="1:8" ht="13.5" thickBot="1">
      <c r="A27" s="849" t="s">
        <v>184</v>
      </c>
      <c r="B27" s="850"/>
      <c r="C27" s="850"/>
      <c r="D27" s="850"/>
      <c r="E27" s="850"/>
      <c r="F27" s="850"/>
      <c r="G27" s="850"/>
      <c r="H27" s="853"/>
    </row>
    <row r="28" spans="1:8" ht="12.75">
      <c r="A28" s="123" t="s">
        <v>212</v>
      </c>
      <c r="B28" s="124">
        <v>0</v>
      </c>
      <c r="C28" s="125">
        <v>0</v>
      </c>
      <c r="D28" s="124">
        <f>SUM(B28:C28)</f>
        <v>0</v>
      </c>
      <c r="E28" s="124"/>
      <c r="F28" s="124"/>
      <c r="G28" s="124"/>
      <c r="H28" s="124"/>
    </row>
    <row r="29" spans="1:8" ht="12.75">
      <c r="A29" s="123" t="s">
        <v>211</v>
      </c>
      <c r="B29" s="124">
        <v>0</v>
      </c>
      <c r="C29" s="125">
        <v>0</v>
      </c>
      <c r="D29" s="124">
        <f>SUM(B29:C29)</f>
        <v>0</v>
      </c>
      <c r="E29" s="124"/>
      <c r="F29" s="124"/>
      <c r="G29" s="124"/>
      <c r="H29" s="124"/>
    </row>
    <row r="30" spans="1:8" ht="12.75">
      <c r="A30" s="117" t="s">
        <v>218</v>
      </c>
      <c r="B30" s="124"/>
      <c r="C30" s="125"/>
      <c r="D30" s="124"/>
      <c r="E30" s="124"/>
      <c r="F30" s="124"/>
      <c r="G30" s="124"/>
      <c r="H30" s="124"/>
    </row>
    <row r="31" spans="1:8" ht="12.75">
      <c r="A31" s="117" t="s">
        <v>219</v>
      </c>
      <c r="B31" s="124"/>
      <c r="C31" s="125"/>
      <c r="D31" s="124"/>
      <c r="E31" s="124"/>
      <c r="F31" s="124"/>
      <c r="G31" s="124"/>
      <c r="H31" s="124"/>
    </row>
    <row r="32" spans="1:8" ht="12.75">
      <c r="A32" s="117" t="s">
        <v>220</v>
      </c>
      <c r="B32" s="124"/>
      <c r="C32" s="125"/>
      <c r="D32" s="124"/>
      <c r="E32" s="124"/>
      <c r="F32" s="124"/>
      <c r="G32" s="124"/>
      <c r="H32" s="124"/>
    </row>
    <row r="33" spans="1:8" ht="12.75">
      <c r="A33" s="130" t="s">
        <v>224</v>
      </c>
      <c r="B33" s="124"/>
      <c r="C33" s="125"/>
      <c r="D33" s="124"/>
      <c r="E33" s="124"/>
      <c r="F33" s="124"/>
      <c r="G33" s="124"/>
      <c r="H33" s="124"/>
    </row>
    <row r="34" spans="1:8" ht="12.75">
      <c r="A34" s="123"/>
      <c r="B34" s="124"/>
      <c r="C34" s="125"/>
      <c r="D34" s="124"/>
      <c r="E34" s="124"/>
      <c r="F34" s="124"/>
      <c r="G34" s="124"/>
      <c r="H34" s="124"/>
    </row>
    <row r="35" spans="1:8" ht="12.75">
      <c r="A35" s="127" t="s">
        <v>183</v>
      </c>
      <c r="B35" s="128">
        <f aca="true" t="shared" si="2" ref="B35:G35">SUM(B28:B34)</f>
        <v>0</v>
      </c>
      <c r="C35" s="129">
        <f t="shared" si="2"/>
        <v>0</v>
      </c>
      <c r="D35" s="128">
        <f t="shared" si="2"/>
        <v>0</v>
      </c>
      <c r="E35" s="128">
        <f t="shared" si="2"/>
        <v>0</v>
      </c>
      <c r="F35" s="128">
        <f t="shared" si="2"/>
        <v>0</v>
      </c>
      <c r="G35" s="128">
        <f t="shared" si="2"/>
        <v>0</v>
      </c>
      <c r="H35" s="128"/>
    </row>
    <row r="36" spans="1:8" ht="12.75">
      <c r="A36" s="127" t="s">
        <v>185</v>
      </c>
      <c r="B36" s="128">
        <f aca="true" t="shared" si="3" ref="B36:G36">+B25+B35</f>
        <v>176667000</v>
      </c>
      <c r="C36" s="129">
        <f t="shared" si="3"/>
        <v>20500000</v>
      </c>
      <c r="D36" s="128">
        <f t="shared" si="3"/>
        <v>197167000</v>
      </c>
      <c r="E36" s="128">
        <f t="shared" si="3"/>
        <v>0</v>
      </c>
      <c r="F36" s="128">
        <f t="shared" si="3"/>
        <v>20500000</v>
      </c>
      <c r="G36" s="128">
        <f t="shared" si="3"/>
        <v>0</v>
      </c>
      <c r="H36" s="128"/>
    </row>
    <row r="37" spans="1:8" ht="13.5" thickBot="1">
      <c r="A37" s="123"/>
      <c r="B37" s="124"/>
      <c r="C37" s="125"/>
      <c r="D37" s="124"/>
      <c r="E37" s="124"/>
      <c r="F37" s="124"/>
      <c r="G37" s="124"/>
      <c r="H37" s="124"/>
    </row>
    <row r="38" spans="1:8" ht="13.5" thickBot="1">
      <c r="A38" s="849" t="s">
        <v>190</v>
      </c>
      <c r="B38" s="850"/>
      <c r="C38" s="850"/>
      <c r="D38" s="850"/>
      <c r="E38" s="850"/>
      <c r="F38" s="850"/>
      <c r="G38" s="851"/>
      <c r="H38" s="852"/>
    </row>
    <row r="39" spans="1:8" ht="25.5">
      <c r="A39" s="131" t="s">
        <v>210</v>
      </c>
      <c r="B39" s="132"/>
      <c r="C39" s="133"/>
      <c r="D39" s="132"/>
      <c r="E39" s="134">
        <v>0</v>
      </c>
      <c r="F39" s="135"/>
      <c r="G39" s="190"/>
      <c r="H39" s="132"/>
    </row>
    <row r="40" spans="1:8" ht="12.75">
      <c r="A40" s="130" t="s">
        <v>191</v>
      </c>
      <c r="B40" s="137"/>
      <c r="C40" s="138"/>
      <c r="D40" s="137"/>
      <c r="E40" s="441">
        <f>+INFORMACION!C45</f>
        <v>6639453</v>
      </c>
      <c r="F40" s="135"/>
      <c r="G40" s="192"/>
      <c r="H40" s="137"/>
    </row>
    <row r="41" spans="1:8" ht="12.75">
      <c r="A41" s="130" t="s">
        <v>192</v>
      </c>
      <c r="B41" s="137"/>
      <c r="C41" s="138"/>
      <c r="D41" s="137"/>
      <c r="E41" s="441">
        <f>+INFORMACION!C44</f>
        <v>4426302</v>
      </c>
      <c r="F41" s="135"/>
      <c r="G41" s="192"/>
      <c r="H41" s="137"/>
    </row>
    <row r="42" spans="1:8" ht="25.5">
      <c r="A42" s="131" t="s">
        <v>193</v>
      </c>
      <c r="B42" s="137"/>
      <c r="C42" s="138"/>
      <c r="D42" s="137"/>
      <c r="E42" s="442">
        <f>+E23</f>
        <v>0</v>
      </c>
      <c r="F42" s="135"/>
      <c r="G42" s="192"/>
      <c r="H42" s="137"/>
    </row>
    <row r="43" spans="1:8" ht="13.5" thickBot="1">
      <c r="A43" s="130"/>
      <c r="B43" s="137"/>
      <c r="C43" s="138"/>
      <c r="D43" s="137"/>
      <c r="E43" s="124"/>
      <c r="F43" s="135"/>
      <c r="G43" s="192"/>
      <c r="H43" s="137"/>
    </row>
    <row r="44" spans="1:8" ht="13.5" thickBot="1">
      <c r="A44" s="140" t="s">
        <v>194</v>
      </c>
      <c r="B44" s="141"/>
      <c r="C44" s="142"/>
      <c r="D44" s="141"/>
      <c r="E44" s="443">
        <f>SUM(E39:E43)</f>
        <v>11065755</v>
      </c>
      <c r="F44" s="304" t="s">
        <v>453</v>
      </c>
      <c r="G44" s="192"/>
      <c r="H44" s="137"/>
    </row>
    <row r="45" spans="1:8" ht="13.5" thickBot="1">
      <c r="A45" s="145" t="s">
        <v>195</v>
      </c>
      <c r="B45" s="146"/>
      <c r="C45" s="147"/>
      <c r="D45" s="148">
        <f>+D36-D44</f>
        <v>197167000</v>
      </c>
      <c r="E45" s="1033">
        <f>+D45-E44</f>
        <v>186101245</v>
      </c>
      <c r="F45" s="302" t="s">
        <v>454</v>
      </c>
      <c r="G45" s="303"/>
      <c r="H45" s="301"/>
    </row>
    <row r="46" spans="1:8" ht="13.5" thickBot="1">
      <c r="A46" s="151"/>
      <c r="B46" s="152"/>
      <c r="C46" s="153"/>
      <c r="D46" s="152"/>
      <c r="E46" s="152"/>
      <c r="F46" s="152"/>
      <c r="G46" s="152"/>
      <c r="H46" s="152"/>
    </row>
    <row r="47" spans="1:8" ht="13.5" thickBot="1">
      <c r="A47" s="816" t="s">
        <v>100</v>
      </c>
      <c r="B47" s="818"/>
      <c r="C47" s="818"/>
      <c r="D47" s="818"/>
      <c r="E47" s="818"/>
      <c r="F47" s="818"/>
      <c r="G47" s="818"/>
      <c r="H47" s="817"/>
    </row>
    <row r="48" spans="1:8" ht="26.25" thickBot="1">
      <c r="A48" s="155" t="s">
        <v>209</v>
      </c>
      <c r="B48" s="842"/>
      <c r="C48" s="844"/>
      <c r="D48" s="155" t="s">
        <v>207</v>
      </c>
      <c r="E48" s="156" t="s">
        <v>208</v>
      </c>
      <c r="F48" s="842"/>
      <c r="G48" s="843"/>
      <c r="H48" s="844"/>
    </row>
    <row r="49" spans="1:9" ht="42.75" customHeight="1">
      <c r="A49" s="131" t="s">
        <v>213</v>
      </c>
      <c r="B49" s="845"/>
      <c r="C49" s="846"/>
      <c r="D49" s="442">
        <f>+INFORMACION!C80</f>
        <v>2850000</v>
      </c>
      <c r="E49" s="139">
        <f>MIN(D49,38231000)</f>
        <v>2850000</v>
      </c>
      <c r="F49" s="854"/>
      <c r="G49" s="855"/>
      <c r="H49" s="856"/>
      <c r="I49" s="117" t="s">
        <v>615</v>
      </c>
    </row>
    <row r="50" spans="1:8" ht="25.5">
      <c r="A50" s="131" t="s">
        <v>214</v>
      </c>
      <c r="B50" s="845"/>
      <c r="C50" s="846"/>
      <c r="D50" s="139">
        <f>+INFORMACION!C73</f>
        <v>8000000</v>
      </c>
      <c r="E50" s="139">
        <f>MIN(D50,6117000)</f>
        <v>6117000</v>
      </c>
      <c r="F50" s="854"/>
      <c r="G50" s="855"/>
      <c r="H50" s="856"/>
    </row>
    <row r="51" spans="1:9" ht="12.75">
      <c r="A51" s="131" t="s">
        <v>215</v>
      </c>
      <c r="B51" s="845"/>
      <c r="C51" s="846"/>
      <c r="D51" s="124">
        <f>+D45*10%</f>
        <v>19716700</v>
      </c>
      <c r="E51" s="124">
        <f>MIN(D51,12234000)</f>
        <v>12234000</v>
      </c>
      <c r="F51" s="854"/>
      <c r="G51" s="855"/>
      <c r="H51" s="856"/>
      <c r="I51" s="117" t="s">
        <v>616</v>
      </c>
    </row>
    <row r="52" spans="1:9" ht="25.5">
      <c r="A52" s="131" t="s">
        <v>216</v>
      </c>
      <c r="B52" s="845"/>
      <c r="C52" s="846"/>
      <c r="D52" s="441">
        <f>+INFORMACION!C78</f>
        <v>3858000</v>
      </c>
      <c r="E52" s="124">
        <f>+D52*50%</f>
        <v>1929000</v>
      </c>
      <c r="F52" s="854"/>
      <c r="G52" s="855"/>
      <c r="H52" s="856"/>
      <c r="I52" s="117" t="s">
        <v>617</v>
      </c>
    </row>
    <row r="53" spans="1:8" ht="12.75">
      <c r="A53" s="131" t="s">
        <v>618</v>
      </c>
      <c r="B53" s="845"/>
      <c r="C53" s="846"/>
      <c r="D53" s="441">
        <v>12000000</v>
      </c>
      <c r="E53" s="124">
        <v>0</v>
      </c>
      <c r="F53" s="854"/>
      <c r="G53" s="855"/>
      <c r="H53" s="856"/>
    </row>
    <row r="54" spans="1:8" ht="51">
      <c r="A54" s="131" t="s">
        <v>217</v>
      </c>
      <c r="B54" s="845"/>
      <c r="C54" s="846"/>
      <c r="D54" s="139">
        <v>0</v>
      </c>
      <c r="E54" s="124"/>
      <c r="F54" s="854"/>
      <c r="G54" s="855"/>
      <c r="H54" s="856"/>
    </row>
    <row r="55" spans="1:8" ht="13.5" thickBot="1">
      <c r="A55" s="130"/>
      <c r="B55" s="847"/>
      <c r="C55" s="848"/>
      <c r="D55" s="157"/>
      <c r="E55" s="157"/>
      <c r="F55" s="870"/>
      <c r="G55" s="871"/>
      <c r="H55" s="872"/>
    </row>
    <row r="56" spans="1:8" ht="13.5" thickBot="1">
      <c r="A56" s="158" t="s">
        <v>198</v>
      </c>
      <c r="B56" s="148"/>
      <c r="C56" s="159"/>
      <c r="D56" s="148">
        <f>SUM(D47:D55)</f>
        <v>46424700</v>
      </c>
      <c r="E56" s="148">
        <f>SUM(E49:E55)</f>
        <v>23130000</v>
      </c>
      <c r="F56" s="867"/>
      <c r="G56" s="868"/>
      <c r="H56" s="869"/>
    </row>
    <row r="57" spans="1:8" ht="13.5" thickBot="1">
      <c r="A57" s="151"/>
      <c r="B57" s="152"/>
      <c r="C57" s="153"/>
      <c r="D57" s="152"/>
      <c r="E57" s="152"/>
      <c r="F57" s="152"/>
      <c r="G57" s="152"/>
      <c r="H57" s="152"/>
    </row>
    <row r="58" spans="1:8" ht="13.5" thickBot="1">
      <c r="A58" s="864" t="s">
        <v>101</v>
      </c>
      <c r="B58" s="865"/>
      <c r="C58" s="865"/>
      <c r="D58" s="865"/>
      <c r="E58" s="865"/>
      <c r="F58" s="865"/>
      <c r="G58" s="865"/>
      <c r="H58" s="866"/>
    </row>
    <row r="59" spans="1:8" ht="12.75">
      <c r="A59" s="117" t="s">
        <v>218</v>
      </c>
      <c r="B59" s="842"/>
      <c r="C59" s="843"/>
      <c r="D59" s="843"/>
      <c r="E59" s="844"/>
      <c r="F59" s="152">
        <f>+D30</f>
        <v>0</v>
      </c>
      <c r="G59" s="860"/>
      <c r="H59" s="861"/>
    </row>
    <row r="60" spans="1:8" ht="15" customHeight="1">
      <c r="A60" s="117" t="s">
        <v>219</v>
      </c>
      <c r="B60" s="854"/>
      <c r="C60" s="855"/>
      <c r="D60" s="855"/>
      <c r="E60" s="856"/>
      <c r="F60" s="152">
        <f>+D31</f>
        <v>0</v>
      </c>
      <c r="G60" s="845"/>
      <c r="H60" s="846"/>
    </row>
    <row r="61" spans="1:8" ht="15" customHeight="1">
      <c r="A61" s="117" t="s">
        <v>220</v>
      </c>
      <c r="B61" s="854"/>
      <c r="C61" s="855"/>
      <c r="D61" s="855"/>
      <c r="E61" s="856"/>
      <c r="F61" s="152">
        <f>+D32</f>
        <v>0</v>
      </c>
      <c r="G61" s="845"/>
      <c r="H61" s="846"/>
    </row>
    <row r="62" spans="1:9" ht="12.75">
      <c r="A62" s="130" t="str">
        <f>+A14</f>
        <v>Cesantias - reclamadas del fondo, 2016 y ant</v>
      </c>
      <c r="B62" s="854"/>
      <c r="C62" s="855"/>
      <c r="D62" s="855"/>
      <c r="E62" s="856"/>
      <c r="F62" s="152">
        <f>+F14</f>
        <v>12500000</v>
      </c>
      <c r="G62" s="845"/>
      <c r="H62" s="846"/>
      <c r="I62" s="117" t="s">
        <v>619</v>
      </c>
    </row>
    <row r="63" spans="1:8" ht="12.75">
      <c r="A63" s="130" t="str">
        <f>+A15</f>
        <v>Cesantias (consignadas al fondo en 2017) </v>
      </c>
      <c r="B63" s="854"/>
      <c r="C63" s="855"/>
      <c r="D63" s="855"/>
      <c r="E63" s="856"/>
      <c r="F63" s="152">
        <f>+F15</f>
        <v>6500000</v>
      </c>
      <c r="G63" s="845"/>
      <c r="H63" s="846"/>
    </row>
    <row r="64" spans="1:8" ht="12.75">
      <c r="A64" s="130" t="s">
        <v>221</v>
      </c>
      <c r="B64" s="854"/>
      <c r="C64" s="855"/>
      <c r="D64" s="855"/>
      <c r="E64" s="856"/>
      <c r="F64" s="152">
        <f>+F16</f>
        <v>1500000</v>
      </c>
      <c r="G64" s="845"/>
      <c r="H64" s="846"/>
    </row>
    <row r="65" spans="1:8" ht="25.5">
      <c r="A65" s="131" t="s">
        <v>222</v>
      </c>
      <c r="B65" s="854"/>
      <c r="C65" s="855"/>
      <c r="D65" s="855"/>
      <c r="E65" s="856"/>
      <c r="F65" s="160">
        <f>+G20</f>
        <v>0</v>
      </c>
      <c r="G65" s="845"/>
      <c r="H65" s="846"/>
    </row>
    <row r="66" spans="1:8" ht="24" customHeight="1">
      <c r="A66" s="131" t="s">
        <v>223</v>
      </c>
      <c r="B66" s="854"/>
      <c r="C66" s="855"/>
      <c r="D66" s="855"/>
      <c r="E66" s="856"/>
      <c r="F66" s="160">
        <f>+F10</f>
        <v>0</v>
      </c>
      <c r="G66" s="845"/>
      <c r="H66" s="846"/>
    </row>
    <row r="67" spans="1:8" ht="12.75">
      <c r="A67" s="130" t="s">
        <v>224</v>
      </c>
      <c r="B67" s="854"/>
      <c r="C67" s="855"/>
      <c r="D67" s="855"/>
      <c r="E67" s="856"/>
      <c r="F67" s="152">
        <f>+D33</f>
        <v>0</v>
      </c>
      <c r="G67" s="845"/>
      <c r="H67" s="846"/>
    </row>
    <row r="68" spans="1:8" ht="12.75">
      <c r="A68" s="130" t="s">
        <v>225</v>
      </c>
      <c r="B68" s="854"/>
      <c r="C68" s="855"/>
      <c r="D68" s="855"/>
      <c r="E68" s="856"/>
      <c r="F68" s="152">
        <v>20000000</v>
      </c>
      <c r="G68" s="845"/>
      <c r="H68" s="846"/>
    </row>
    <row r="69" spans="1:8" ht="13.5" thickBot="1">
      <c r="A69" s="130"/>
      <c r="B69" s="857"/>
      <c r="C69" s="858"/>
      <c r="D69" s="858"/>
      <c r="E69" s="859"/>
      <c r="F69" s="152"/>
      <c r="G69" s="862"/>
      <c r="H69" s="863"/>
    </row>
    <row r="70" spans="1:8" ht="13.5" thickBot="1">
      <c r="A70" s="158" t="s">
        <v>199</v>
      </c>
      <c r="B70" s="882"/>
      <c r="C70" s="883"/>
      <c r="D70" s="883"/>
      <c r="E70" s="884"/>
      <c r="F70" s="161">
        <f>SUM(F59:F69)</f>
        <v>40500000</v>
      </c>
      <c r="G70" s="882"/>
      <c r="H70" s="884"/>
    </row>
    <row r="71" spans="1:8" ht="13.5" thickBot="1">
      <c r="A71" s="887" t="s">
        <v>226</v>
      </c>
      <c r="B71" s="888"/>
      <c r="C71" s="888"/>
      <c r="D71" s="888"/>
      <c r="E71" s="888"/>
      <c r="F71" s="888"/>
      <c r="G71" s="888"/>
      <c r="H71" s="889"/>
    </row>
    <row r="72" spans="1:8" ht="12.75">
      <c r="A72" s="127" t="s">
        <v>200</v>
      </c>
      <c r="B72" s="860"/>
      <c r="C72" s="885"/>
      <c r="D72" s="885"/>
      <c r="E72" s="861"/>
      <c r="F72" s="162">
        <f>+F73-F74-F75</f>
        <v>122471245</v>
      </c>
      <c r="G72" s="860"/>
      <c r="H72" s="861"/>
    </row>
    <row r="73" spans="1:8" ht="12.75">
      <c r="A73" s="123" t="str">
        <f>+A45</f>
        <v>Total Ingresos Netos</v>
      </c>
      <c r="B73" s="845"/>
      <c r="C73" s="877"/>
      <c r="D73" s="877"/>
      <c r="E73" s="846"/>
      <c r="F73" s="124">
        <f>+E45</f>
        <v>186101245</v>
      </c>
      <c r="G73" s="845"/>
      <c r="H73" s="846"/>
    </row>
    <row r="74" spans="1:8" ht="12.75">
      <c r="A74" s="123" t="str">
        <f>+A56</f>
        <v>Total Deducciones</v>
      </c>
      <c r="B74" s="845"/>
      <c r="C74" s="877"/>
      <c r="D74" s="877"/>
      <c r="E74" s="846"/>
      <c r="F74" s="124">
        <f>+E56</f>
        <v>23130000</v>
      </c>
      <c r="G74" s="845"/>
      <c r="H74" s="846"/>
    </row>
    <row r="75" spans="1:8" ht="12.75">
      <c r="A75" s="123" t="str">
        <f>+A70</f>
        <v>Total Rentas Exentas</v>
      </c>
      <c r="B75" s="845"/>
      <c r="C75" s="877"/>
      <c r="D75" s="877"/>
      <c r="E75" s="846"/>
      <c r="F75" s="124">
        <f>+F70</f>
        <v>40500000</v>
      </c>
      <c r="G75" s="845"/>
      <c r="H75" s="846"/>
    </row>
    <row r="76" spans="1:8" ht="12.75">
      <c r="A76" s="127" t="s">
        <v>197</v>
      </c>
      <c r="B76" s="845"/>
      <c r="C76" s="877"/>
      <c r="D76" s="877"/>
      <c r="E76" s="846"/>
      <c r="F76" s="162">
        <f>+F72*25%</f>
        <v>30617811.25</v>
      </c>
      <c r="G76" s="845"/>
      <c r="H76" s="846"/>
    </row>
    <row r="77" spans="1:8" ht="12.75">
      <c r="A77" s="127" t="s">
        <v>201</v>
      </c>
      <c r="B77" s="845"/>
      <c r="C77" s="877"/>
      <c r="D77" s="877"/>
      <c r="E77" s="846"/>
      <c r="F77" s="162">
        <f>2880*31859</f>
        <v>91753920</v>
      </c>
      <c r="G77" s="845"/>
      <c r="H77" s="846"/>
    </row>
    <row r="78" spans="1:8" ht="13.5" thickBot="1">
      <c r="A78" s="163" t="s">
        <v>202</v>
      </c>
      <c r="B78" s="847"/>
      <c r="C78" s="886"/>
      <c r="D78" s="886"/>
      <c r="E78" s="848"/>
      <c r="F78" s="164">
        <f>MIN(F76:F77)</f>
        <v>30617811.25</v>
      </c>
      <c r="G78" s="847"/>
      <c r="H78" s="848"/>
    </row>
    <row r="79" spans="1:8" ht="13.5" thickBot="1">
      <c r="A79" s="165"/>
      <c r="B79" s="152"/>
      <c r="C79" s="153"/>
      <c r="D79" s="152"/>
      <c r="E79" s="152"/>
      <c r="F79" s="152"/>
      <c r="G79" s="152"/>
      <c r="H79" s="152"/>
    </row>
    <row r="80" spans="1:9" ht="13.5" thickBot="1">
      <c r="A80" s="166" t="s">
        <v>203</v>
      </c>
      <c r="B80" s="873"/>
      <c r="C80" s="874"/>
      <c r="D80" s="875"/>
      <c r="E80" s="873"/>
      <c r="F80" s="306">
        <f>+E56+F70+F78-F62</f>
        <v>81747811.25</v>
      </c>
      <c r="G80" s="311" t="s">
        <v>455</v>
      </c>
      <c r="H80" s="313"/>
      <c r="I80" s="117" t="s">
        <v>621</v>
      </c>
    </row>
    <row r="81" spans="1:8" ht="27" customHeight="1" thickBot="1">
      <c r="A81" s="167" t="s">
        <v>370</v>
      </c>
      <c r="B81" s="876"/>
      <c r="C81" s="877"/>
      <c r="D81" s="878"/>
      <c r="E81" s="876"/>
      <c r="F81" s="307">
        <f>+(E45-F62)*40%</f>
        <v>69440498</v>
      </c>
      <c r="G81" s="312" t="s">
        <v>456</v>
      </c>
      <c r="H81" s="314"/>
    </row>
    <row r="82" spans="1:8" ht="27" customHeight="1">
      <c r="A82" s="167" t="s">
        <v>620</v>
      </c>
      <c r="B82" s="876"/>
      <c r="C82" s="877"/>
      <c r="D82" s="878"/>
      <c r="E82" s="876"/>
      <c r="F82" s="307">
        <f>+F62</f>
        <v>12500000</v>
      </c>
      <c r="G82" s="1032"/>
      <c r="H82" s="314"/>
    </row>
    <row r="83" spans="1:8" ht="13.5" thickBot="1">
      <c r="A83" s="166" t="s">
        <v>204</v>
      </c>
      <c r="B83" s="876"/>
      <c r="C83" s="877"/>
      <c r="D83" s="878"/>
      <c r="E83" s="876"/>
      <c r="F83" s="308">
        <f>+F81+F82</f>
        <v>81940498</v>
      </c>
      <c r="G83" s="315"/>
      <c r="H83" s="314"/>
    </row>
    <row r="84" spans="1:8" ht="13.5" thickBot="1">
      <c r="A84" s="166" t="s">
        <v>205</v>
      </c>
      <c r="B84" s="876"/>
      <c r="C84" s="877"/>
      <c r="D84" s="878"/>
      <c r="E84" s="879"/>
      <c r="F84" s="308">
        <f>+E45-F83</f>
        <v>104160747</v>
      </c>
      <c r="G84" s="311" t="s">
        <v>457</v>
      </c>
      <c r="H84" s="314"/>
    </row>
    <row r="85" spans="1:8" ht="12.75">
      <c r="A85" s="166" t="s">
        <v>206</v>
      </c>
      <c r="B85" s="879"/>
      <c r="C85" s="880"/>
      <c r="D85" s="881"/>
      <c r="E85" s="305">
        <v>31859</v>
      </c>
      <c r="F85" s="309">
        <f>+F84/E85</f>
        <v>3269.4292664553186</v>
      </c>
      <c r="G85" s="457"/>
      <c r="H85" s="458"/>
    </row>
    <row r="87" spans="5:7" ht="12.75">
      <c r="E87" s="117" t="s">
        <v>623</v>
      </c>
      <c r="F87" s="194">
        <f>+(F85-1700)*28%+116</f>
        <v>555.4401946074893</v>
      </c>
      <c r="G87" s="117" t="s">
        <v>624</v>
      </c>
    </row>
    <row r="88" spans="6:9" ht="12.75">
      <c r="F88" s="1034">
        <f>+F87*E85</f>
        <v>17695769.16</v>
      </c>
      <c r="G88" s="117" t="s">
        <v>625</v>
      </c>
      <c r="H88" s="1036">
        <f>+F88/D25</f>
        <v>0.08975015677065634</v>
      </c>
      <c r="I88" s="117" t="s">
        <v>626</v>
      </c>
    </row>
    <row r="90" spans="5:6" ht="12.75">
      <c r="E90" s="117" t="s">
        <v>622</v>
      </c>
      <c r="F90" s="1034">
        <v>31859</v>
      </c>
    </row>
    <row r="91" spans="1:5" ht="12.75">
      <c r="A91" s="1034"/>
      <c r="B91" s="1034"/>
      <c r="C91" s="1037"/>
      <c r="D91" s="1034"/>
      <c r="E91" s="1034"/>
    </row>
    <row r="92" spans="1:5" ht="12.75">
      <c r="A92" s="1034"/>
      <c r="B92" s="1034"/>
      <c r="C92" s="1037"/>
      <c r="D92" s="1034"/>
      <c r="E92" s="1034"/>
    </row>
    <row r="93" spans="1:5" ht="12.75">
      <c r="A93" s="1034"/>
      <c r="B93" s="1034"/>
      <c r="C93" s="1037"/>
      <c r="D93" s="1034"/>
      <c r="E93" s="1034"/>
    </row>
    <row r="94" spans="1:5" ht="12.75">
      <c r="A94" s="1034" t="s">
        <v>627</v>
      </c>
      <c r="B94" s="1034"/>
      <c r="C94" s="1037"/>
      <c r="D94" s="1034"/>
      <c r="E94" s="1034"/>
    </row>
    <row r="95" spans="1:5" ht="12.75">
      <c r="A95" s="1034" t="s">
        <v>312</v>
      </c>
      <c r="B95" s="1034">
        <f>6000000*12</f>
        <v>72000000</v>
      </c>
      <c r="C95" s="1037"/>
      <c r="D95" s="1034"/>
      <c r="E95" s="1034"/>
    </row>
    <row r="96" spans="1:5" ht="12.75">
      <c r="A96" s="1034" t="s">
        <v>313</v>
      </c>
      <c r="B96" s="1034">
        <f>6000000+6000000+720000+3500000</f>
        <v>16220000</v>
      </c>
      <c r="C96" s="1037"/>
      <c r="D96" s="1034"/>
      <c r="E96" s="1034"/>
    </row>
    <row r="97" spans="1:5" ht="12.75">
      <c r="A97" s="1038" t="s">
        <v>248</v>
      </c>
      <c r="B97" s="1038">
        <f>+B95+B96</f>
        <v>88220000</v>
      </c>
      <c r="C97" s="1037"/>
      <c r="D97" s="1034"/>
      <c r="E97" s="1034"/>
    </row>
    <row r="98" spans="1:5" ht="12.75">
      <c r="A98" s="1034" t="s">
        <v>628</v>
      </c>
      <c r="B98" s="1034">
        <f>-B95*9%</f>
        <v>-6480000</v>
      </c>
      <c r="C98" s="1037"/>
      <c r="D98" s="1034"/>
      <c r="E98" s="1034"/>
    </row>
    <row r="99" spans="1:5" ht="12.75">
      <c r="A99" s="1038" t="s">
        <v>629</v>
      </c>
      <c r="B99" s="1038">
        <f>+B97+B98</f>
        <v>81740000</v>
      </c>
      <c r="C99" s="1037"/>
      <c r="D99" s="1034"/>
      <c r="E99" s="1034"/>
    </row>
    <row r="100" spans="1:5" ht="12.75">
      <c r="A100" s="1034" t="s">
        <v>630</v>
      </c>
      <c r="B100" s="1034">
        <f>-B99*40%</f>
        <v>-32696000</v>
      </c>
      <c r="C100" s="1037"/>
      <c r="D100" s="1034"/>
      <c r="E100" s="1034"/>
    </row>
    <row r="101" spans="1:5" ht="12.75">
      <c r="A101" s="1038" t="s">
        <v>631</v>
      </c>
      <c r="B101" s="1038">
        <f>+B99+B100</f>
        <v>49044000</v>
      </c>
      <c r="C101" s="1037"/>
      <c r="D101" s="1034"/>
      <c r="E101" s="1034"/>
    </row>
    <row r="102" spans="1:5" ht="12.75">
      <c r="A102" s="1034"/>
      <c r="B102" s="1034">
        <f>+B101/E85</f>
        <v>1539.408016573025</v>
      </c>
      <c r="C102" s="1037" t="s">
        <v>632</v>
      </c>
      <c r="D102" s="1034"/>
      <c r="E102" s="1034"/>
    </row>
    <row r="103" spans="1:5" ht="12.75">
      <c r="A103" s="1034"/>
      <c r="B103" s="1034"/>
      <c r="C103" s="1037"/>
      <c r="D103" s="1034"/>
      <c r="E103" s="1034"/>
    </row>
    <row r="104" spans="1:5" ht="12.75">
      <c r="A104" s="1034" t="s">
        <v>633</v>
      </c>
      <c r="B104" s="1034">
        <f>+(B102-1090)*19%</f>
        <v>85.38752314887475</v>
      </c>
      <c r="C104" s="1037" t="s">
        <v>632</v>
      </c>
      <c r="D104" s="1034"/>
      <c r="E104" s="1034"/>
    </row>
    <row r="105" spans="1:5" ht="12.75">
      <c r="A105" s="1034"/>
      <c r="B105" s="1034">
        <f>+B104*E85</f>
        <v>2720361.1000000006</v>
      </c>
      <c r="C105" s="1037" t="s">
        <v>634</v>
      </c>
      <c r="D105" s="1034"/>
      <c r="E105" s="1034"/>
    </row>
    <row r="106" spans="1:5" ht="12.75">
      <c r="A106" s="1034"/>
      <c r="B106" s="1039">
        <f>+B105/B97</f>
        <v>0.03083610405803673</v>
      </c>
      <c r="C106" s="1040" t="s">
        <v>635</v>
      </c>
      <c r="D106" s="1034"/>
      <c r="E106" s="1034"/>
    </row>
    <row r="107" spans="1:5" ht="12.75">
      <c r="A107" s="1034"/>
      <c r="B107" s="1034"/>
      <c r="C107" s="1037"/>
      <c r="D107" s="1034"/>
      <c r="E107" s="1034"/>
    </row>
    <row r="108" spans="1:5" ht="12.75">
      <c r="A108" s="1034"/>
      <c r="B108" s="1034"/>
      <c r="C108" s="1037"/>
      <c r="D108" s="1034"/>
      <c r="E108" s="1034"/>
    </row>
    <row r="109" spans="1:5" ht="12.75">
      <c r="A109" s="1034"/>
      <c r="B109" s="1034"/>
      <c r="C109" s="1037"/>
      <c r="D109" s="1034"/>
      <c r="E109" s="1034"/>
    </row>
    <row r="110" spans="1:5" ht="12.75">
      <c r="A110" s="1034"/>
      <c r="B110" s="1034"/>
      <c r="C110" s="1037"/>
      <c r="D110" s="1034"/>
      <c r="E110" s="1034"/>
    </row>
    <row r="111" spans="1:5" ht="12.75">
      <c r="A111" s="1034"/>
      <c r="B111" s="1034"/>
      <c r="C111" s="1037"/>
      <c r="D111" s="1034"/>
      <c r="E111" s="1034"/>
    </row>
    <row r="112" spans="1:5" ht="12.75">
      <c r="A112" s="1034"/>
      <c r="B112" s="1034"/>
      <c r="C112" s="1037"/>
      <c r="D112" s="1034"/>
      <c r="E112" s="1034"/>
    </row>
    <row r="113" spans="1:5" ht="12.75">
      <c r="A113" s="1034"/>
      <c r="B113" s="1034"/>
      <c r="C113" s="1037"/>
      <c r="D113" s="1034"/>
      <c r="E113" s="1034"/>
    </row>
  </sheetData>
  <sheetProtection/>
  <mergeCells count="32">
    <mergeCell ref="B80:D85"/>
    <mergeCell ref="B70:E70"/>
    <mergeCell ref="G70:H70"/>
    <mergeCell ref="B72:E78"/>
    <mergeCell ref="A71:H71"/>
    <mergeCell ref="E80:E84"/>
    <mergeCell ref="B60:E69"/>
    <mergeCell ref="C7:C8"/>
    <mergeCell ref="G59:H69"/>
    <mergeCell ref="A58:H58"/>
    <mergeCell ref="F56:H56"/>
    <mergeCell ref="G72:H78"/>
    <mergeCell ref="F48:H55"/>
    <mergeCell ref="G7:G8"/>
    <mergeCell ref="A5:H5"/>
    <mergeCell ref="D7:D8"/>
    <mergeCell ref="H7:H8"/>
    <mergeCell ref="A47:H47"/>
    <mergeCell ref="A38:H38"/>
    <mergeCell ref="A27:H27"/>
    <mergeCell ref="A9:H9"/>
    <mergeCell ref="E7:E8"/>
    <mergeCell ref="A3:H3"/>
    <mergeCell ref="B59:E59"/>
    <mergeCell ref="B49:C55"/>
    <mergeCell ref="B48:C48"/>
    <mergeCell ref="B7:B8"/>
    <mergeCell ref="A1:H1"/>
    <mergeCell ref="A2:H2"/>
    <mergeCell ref="A4:H4"/>
    <mergeCell ref="F7:F8"/>
    <mergeCell ref="A7:A8"/>
  </mergeCells>
  <printOptions/>
  <pageMargins left="0.75" right="0.75" top="1" bottom="1" header="0" footer="0"/>
  <pageSetup horizontalDpi="600" verticalDpi="600" orientation="landscape" scale="90" r:id="rId1"/>
</worksheet>
</file>

<file path=xl/worksheets/sheet9.xml><?xml version="1.0" encoding="utf-8"?>
<worksheet xmlns="http://schemas.openxmlformats.org/spreadsheetml/2006/main" xmlns:r="http://schemas.openxmlformats.org/officeDocument/2006/relationships">
  <dimension ref="A1:H32"/>
  <sheetViews>
    <sheetView showGridLines="0" zoomScale="120" zoomScaleNormal="120" zoomScalePageLayoutView="0" workbookViewId="0" topLeftCell="B10">
      <selection activeCell="E18" sqref="E18"/>
    </sheetView>
  </sheetViews>
  <sheetFormatPr defaultColWidth="11.421875" defaultRowHeight="12.75"/>
  <cols>
    <col min="1" max="1" width="62.140625" style="117" customWidth="1"/>
    <col min="2" max="2" width="13.7109375" style="117" customWidth="1"/>
    <col min="3" max="4" width="14.7109375" style="117" customWidth="1"/>
    <col min="5" max="5" width="19.140625" style="117" customWidth="1"/>
    <col min="6" max="6" width="17.140625" style="117" customWidth="1"/>
    <col min="7" max="7" width="15.7109375" style="117" customWidth="1"/>
    <col min="8" max="8" width="17.57421875" style="117" customWidth="1"/>
    <col min="9" max="16384" width="11.421875" style="117" customWidth="1"/>
  </cols>
  <sheetData>
    <row r="1" spans="1:8" ht="12.75">
      <c r="A1" s="819" t="str">
        <f>+'ANEXO 1'!A1</f>
        <v>CARO PAZ SANTOS</v>
      </c>
      <c r="B1" s="800"/>
      <c r="C1" s="800"/>
      <c r="D1" s="800"/>
      <c r="E1" s="800"/>
      <c r="F1" s="800"/>
      <c r="G1" s="800"/>
      <c r="H1" s="801"/>
    </row>
    <row r="2" spans="1:8" ht="12.75">
      <c r="A2" s="813" t="s">
        <v>227</v>
      </c>
      <c r="B2" s="814"/>
      <c r="C2" s="814"/>
      <c r="D2" s="814"/>
      <c r="E2" s="814"/>
      <c r="F2" s="814"/>
      <c r="G2" s="814"/>
      <c r="H2" s="815"/>
    </row>
    <row r="3" spans="1:8" ht="12.75">
      <c r="A3" s="813" t="s">
        <v>230</v>
      </c>
      <c r="B3" s="814"/>
      <c r="C3" s="814"/>
      <c r="D3" s="814"/>
      <c r="E3" s="814"/>
      <c r="F3" s="814"/>
      <c r="G3" s="814"/>
      <c r="H3" s="815"/>
    </row>
    <row r="4" spans="1:8" ht="12.75">
      <c r="A4" s="813" t="str">
        <f>+'ANEXO 1'!A3</f>
        <v>Año Gravable 2017</v>
      </c>
      <c r="B4" s="814"/>
      <c r="C4" s="814"/>
      <c r="D4" s="814"/>
      <c r="E4" s="814"/>
      <c r="F4" s="814"/>
      <c r="G4" s="814"/>
      <c r="H4" s="815"/>
    </row>
    <row r="5" spans="1:8" ht="12.75">
      <c r="A5" s="813" t="s">
        <v>459</v>
      </c>
      <c r="B5" s="814"/>
      <c r="C5" s="814"/>
      <c r="D5" s="814"/>
      <c r="E5" s="814"/>
      <c r="F5" s="814"/>
      <c r="G5" s="814"/>
      <c r="H5" s="815"/>
    </row>
    <row r="6" spans="1:8" ht="13.5" thickBot="1">
      <c r="A6" s="119"/>
      <c r="B6" s="120"/>
      <c r="C6" s="120"/>
      <c r="D6" s="120"/>
      <c r="E6" s="120"/>
      <c r="F6" s="120"/>
      <c r="G6" s="120"/>
      <c r="H6" s="122"/>
    </row>
    <row r="7" spans="1:8" ht="12.75" customHeight="1">
      <c r="A7" s="811" t="s">
        <v>45</v>
      </c>
      <c r="B7" s="811" t="s">
        <v>40</v>
      </c>
      <c r="C7" s="811" t="s">
        <v>41</v>
      </c>
      <c r="D7" s="811" t="s">
        <v>42</v>
      </c>
      <c r="E7" s="811" t="s">
        <v>43</v>
      </c>
      <c r="F7" s="811" t="s">
        <v>44</v>
      </c>
      <c r="G7" s="811" t="s">
        <v>99</v>
      </c>
      <c r="H7" s="811" t="s">
        <v>196</v>
      </c>
    </row>
    <row r="8" spans="1:8" ht="13.5" thickBot="1">
      <c r="A8" s="812"/>
      <c r="B8" s="812"/>
      <c r="C8" s="812"/>
      <c r="D8" s="812"/>
      <c r="E8" s="812"/>
      <c r="F8" s="812"/>
      <c r="G8" s="812"/>
      <c r="H8" s="812"/>
    </row>
    <row r="9" spans="1:8" ht="13.5" thickBot="1">
      <c r="A9" s="849" t="s">
        <v>228</v>
      </c>
      <c r="B9" s="850"/>
      <c r="C9" s="850"/>
      <c r="D9" s="850"/>
      <c r="E9" s="850"/>
      <c r="F9" s="850"/>
      <c r="G9" s="850"/>
      <c r="H9" s="853"/>
    </row>
    <row r="10" spans="1:8" ht="40.5" customHeight="1">
      <c r="A10" s="171" t="s">
        <v>231</v>
      </c>
      <c r="B10" s="139">
        <v>0</v>
      </c>
      <c r="C10" s="139">
        <f>+INFORMACION!C50</f>
        <v>110657550</v>
      </c>
      <c r="D10" s="139">
        <f>SUM(B10:C10)</f>
        <v>110657550</v>
      </c>
      <c r="E10" s="124">
        <v>0</v>
      </c>
      <c r="F10" s="139">
        <f>+C10</f>
        <v>110657550</v>
      </c>
      <c r="G10" s="124"/>
      <c r="H10" s="124"/>
    </row>
    <row r="11" spans="1:8" ht="12.75">
      <c r="A11" s="123"/>
      <c r="B11" s="124"/>
      <c r="C11" s="124">
        <v>0</v>
      </c>
      <c r="D11" s="124">
        <f>SUM(B11:C11)</f>
        <v>0</v>
      </c>
      <c r="E11" s="124"/>
      <c r="F11" s="124">
        <f>+D11</f>
        <v>0</v>
      </c>
      <c r="G11" s="124"/>
      <c r="H11" s="124"/>
    </row>
    <row r="12" spans="1:8" ht="12.75">
      <c r="A12" s="127" t="s">
        <v>185</v>
      </c>
      <c r="B12" s="128">
        <f>SUM(B10:B11)</f>
        <v>0</v>
      </c>
      <c r="C12" s="128">
        <f aca="true" t="shared" si="0" ref="C12:H12">SUM(C10:C11)</f>
        <v>110657550</v>
      </c>
      <c r="D12" s="128">
        <f>SUM(D10:D11)</f>
        <v>110657550</v>
      </c>
      <c r="E12" s="128">
        <f t="shared" si="0"/>
        <v>0</v>
      </c>
      <c r="F12" s="128">
        <f t="shared" si="0"/>
        <v>110657550</v>
      </c>
      <c r="G12" s="128">
        <f t="shared" si="0"/>
        <v>0</v>
      </c>
      <c r="H12" s="128">
        <f t="shared" si="0"/>
        <v>0</v>
      </c>
    </row>
    <row r="13" spans="1:8" ht="13.5" thickBot="1">
      <c r="A13" s="123"/>
      <c r="B13" s="124"/>
      <c r="C13" s="124"/>
      <c r="D13" s="316" t="s">
        <v>461</v>
      </c>
      <c r="E13" s="124"/>
      <c r="F13" s="124"/>
      <c r="G13" s="124"/>
      <c r="H13" s="124"/>
    </row>
    <row r="14" spans="1:8" ht="13.5" thickBot="1">
      <c r="A14" s="849" t="s">
        <v>190</v>
      </c>
      <c r="B14" s="850"/>
      <c r="C14" s="850"/>
      <c r="D14" s="850"/>
      <c r="E14" s="850"/>
      <c r="F14" s="850"/>
      <c r="G14" s="850"/>
      <c r="H14" s="853"/>
    </row>
    <row r="15" spans="1:8" ht="12.75">
      <c r="A15" s="130" t="s">
        <v>192</v>
      </c>
      <c r="B15" s="137"/>
      <c r="C15" s="137"/>
      <c r="D15" s="137"/>
      <c r="E15" s="124">
        <f>+INFORMACION!C51</f>
        <v>13278906</v>
      </c>
      <c r="F15" s="135"/>
      <c r="G15" s="137"/>
      <c r="H15" s="136"/>
    </row>
    <row r="16" spans="1:8" ht="12.75">
      <c r="A16" s="130"/>
      <c r="B16" s="137"/>
      <c r="C16" s="137"/>
      <c r="D16" s="137"/>
      <c r="E16" s="124"/>
      <c r="F16" s="135"/>
      <c r="G16" s="137"/>
      <c r="H16" s="136"/>
    </row>
    <row r="17" spans="1:8" ht="13.5" thickBot="1">
      <c r="A17" s="140" t="s">
        <v>194</v>
      </c>
      <c r="B17" s="141"/>
      <c r="C17" s="141"/>
      <c r="D17" s="141"/>
      <c r="E17" s="143">
        <f>SUM(E15:E16)</f>
        <v>13278906</v>
      </c>
      <c r="F17" s="317" t="s">
        <v>462</v>
      </c>
      <c r="G17" s="141"/>
      <c r="H17" s="144"/>
    </row>
    <row r="18" spans="1:8" ht="13.5" thickBot="1">
      <c r="A18" s="145" t="s">
        <v>195</v>
      </c>
      <c r="B18" s="146"/>
      <c r="C18" s="146"/>
      <c r="D18" s="148">
        <f>+D12-D17</f>
        <v>110657550</v>
      </c>
      <c r="E18" s="148">
        <f>+D18-E17</f>
        <v>97378644</v>
      </c>
      <c r="F18" s="149"/>
      <c r="G18" s="146"/>
      <c r="H18" s="150"/>
    </row>
    <row r="19" spans="1:8" ht="13.5" thickBot="1">
      <c r="A19" s="151"/>
      <c r="B19" s="152"/>
      <c r="C19" s="152"/>
      <c r="D19" s="152"/>
      <c r="E19" s="152"/>
      <c r="F19" s="152"/>
      <c r="G19" s="152"/>
      <c r="H19" s="152"/>
    </row>
    <row r="20" spans="1:8" ht="13.5" thickBot="1">
      <c r="A20" s="864" t="s">
        <v>101</v>
      </c>
      <c r="B20" s="865"/>
      <c r="C20" s="865"/>
      <c r="D20" s="865"/>
      <c r="E20" s="865"/>
      <c r="F20" s="865"/>
      <c r="G20" s="865"/>
      <c r="H20" s="866"/>
    </row>
    <row r="21" spans="1:8" ht="12.75">
      <c r="A21" s="131" t="s">
        <v>372</v>
      </c>
      <c r="B21" s="176"/>
      <c r="C21" s="177"/>
      <c r="D21" s="178"/>
      <c r="E21" s="275">
        <f>+E18</f>
        <v>97378644</v>
      </c>
      <c r="F21" s="160">
        <f>+MIN(E21,382308000)</f>
        <v>97378644</v>
      </c>
      <c r="G21" s="845"/>
      <c r="H21" s="846"/>
    </row>
    <row r="22" spans="1:8" ht="13.5" thickBot="1">
      <c r="A22" s="130"/>
      <c r="B22" s="172"/>
      <c r="C22" s="173"/>
      <c r="D22" s="174"/>
      <c r="E22" s="175"/>
      <c r="F22" s="152"/>
      <c r="G22" s="845"/>
      <c r="H22" s="846"/>
    </row>
    <row r="23" spans="1:8" ht="13.5" thickBot="1">
      <c r="A23" s="158" t="s">
        <v>199</v>
      </c>
      <c r="B23" s="867"/>
      <c r="C23" s="868"/>
      <c r="D23" s="869"/>
      <c r="E23" s="148"/>
      <c r="F23" s="183">
        <f>SUM(F21:F22)</f>
        <v>97378644</v>
      </c>
      <c r="G23" s="319" t="s">
        <v>463</v>
      </c>
      <c r="H23" s="318"/>
    </row>
    <row r="24" spans="1:8" ht="12.75">
      <c r="A24" s="165"/>
      <c r="B24" s="152"/>
      <c r="C24" s="152"/>
      <c r="D24" s="152"/>
      <c r="E24" s="152"/>
      <c r="F24" s="152"/>
      <c r="G24" s="152"/>
      <c r="H24" s="152"/>
    </row>
    <row r="25" spans="1:8" ht="12.75">
      <c r="A25" s="166" t="s">
        <v>232</v>
      </c>
      <c r="B25" s="873"/>
      <c r="C25" s="874"/>
      <c r="D25" s="875"/>
      <c r="E25" s="99"/>
      <c r="F25" s="100">
        <f>F23</f>
        <v>97378644</v>
      </c>
      <c r="G25" s="320"/>
      <c r="H25" s="321"/>
    </row>
    <row r="26" spans="1:8" ht="25.5">
      <c r="A26" s="167" t="s">
        <v>460</v>
      </c>
      <c r="B26" s="876"/>
      <c r="C26" s="877"/>
      <c r="D26" s="878"/>
      <c r="E26" s="99"/>
      <c r="F26" s="168">
        <v>382308000</v>
      </c>
      <c r="G26" s="322"/>
      <c r="H26" s="323"/>
    </row>
    <row r="27" spans="1:8" ht="12.75">
      <c r="A27" s="454" t="s">
        <v>204</v>
      </c>
      <c r="B27" s="876"/>
      <c r="C27" s="877"/>
      <c r="D27" s="878"/>
      <c r="E27" s="455"/>
      <c r="F27" s="456">
        <f>MIN(F25:F26)</f>
        <v>97378644</v>
      </c>
      <c r="G27" s="325" t="s">
        <v>463</v>
      </c>
      <c r="H27" s="323"/>
    </row>
    <row r="28" spans="1:8" ht="12.75">
      <c r="A28" s="166" t="s">
        <v>205</v>
      </c>
      <c r="B28" s="879"/>
      <c r="C28" s="880"/>
      <c r="D28" s="881"/>
      <c r="E28" s="99"/>
      <c r="F28" s="100">
        <f>+E18-F27</f>
        <v>0</v>
      </c>
      <c r="G28" s="879"/>
      <c r="H28" s="881"/>
    </row>
    <row r="29" spans="1:8" ht="12.75">
      <c r="A29" s="806"/>
      <c r="B29" s="806"/>
      <c r="C29" s="806"/>
      <c r="D29" s="806"/>
      <c r="E29" s="806"/>
      <c r="F29" s="806"/>
      <c r="G29" s="806"/>
      <c r="H29" s="806"/>
    </row>
    <row r="30" spans="1:8" ht="12.75">
      <c r="A30" s="166" t="s">
        <v>568</v>
      </c>
      <c r="B30" s="320"/>
      <c r="C30" s="450"/>
      <c r="D30" s="321"/>
      <c r="E30" s="99"/>
      <c r="F30" s="100">
        <f>+'ANEXO 6'!F84+'ANEXO 7'!F28</f>
        <v>104160747</v>
      </c>
      <c r="G30" s="320"/>
      <c r="H30" s="321"/>
    </row>
    <row r="31" spans="1:8" ht="12.75">
      <c r="A31" s="166" t="s">
        <v>206</v>
      </c>
      <c r="B31" s="322"/>
      <c r="C31" s="451"/>
      <c r="D31" s="323"/>
      <c r="E31" s="100">
        <v>31859</v>
      </c>
      <c r="F31" s="169">
        <f>+F30/E31</f>
        <v>3269.4292664553186</v>
      </c>
      <c r="G31" s="322"/>
      <c r="H31" s="323"/>
    </row>
    <row r="32" spans="1:8" ht="12.75">
      <c r="A32" s="166" t="s">
        <v>569</v>
      </c>
      <c r="B32" s="452"/>
      <c r="C32" s="453"/>
      <c r="D32" s="324"/>
      <c r="E32" s="99"/>
      <c r="F32" s="100">
        <f>ROUND((IF(F31&gt;4100,(F31-4100)*33%+788,IF(AND(F31&lt;=4100,F31&gt;1700),(F31-1700)*28%+116,IF(AND(F31&lt;=1700,F31&gt;1090),(F31-1090)*19%,0))))*E31,-3)</f>
        <v>17696000</v>
      </c>
      <c r="G32" s="337" t="s">
        <v>458</v>
      </c>
      <c r="H32" s="324"/>
    </row>
  </sheetData>
  <sheetProtection/>
  <mergeCells count="21">
    <mergeCell ref="A29:H29"/>
    <mergeCell ref="D7:D8"/>
    <mergeCell ref="E7:E8"/>
    <mergeCell ref="F7:F8"/>
    <mergeCell ref="B23:D23"/>
    <mergeCell ref="A20:H20"/>
    <mergeCell ref="G21:H22"/>
    <mergeCell ref="G7:G8"/>
    <mergeCell ref="A1:H1"/>
    <mergeCell ref="A2:H2"/>
    <mergeCell ref="A3:H3"/>
    <mergeCell ref="A4:H4"/>
    <mergeCell ref="A7:A8"/>
    <mergeCell ref="A9:H9"/>
    <mergeCell ref="A5:H5"/>
    <mergeCell ref="B7:B8"/>
    <mergeCell ref="H7:H8"/>
    <mergeCell ref="C7:C8"/>
    <mergeCell ref="A14:H14"/>
    <mergeCell ref="B25:D28"/>
    <mergeCell ref="G28:H28"/>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ELIECER</dc:creator>
  <cp:keywords/>
  <dc:description/>
  <cp:lastModifiedBy>user</cp:lastModifiedBy>
  <cp:lastPrinted>2018-05-08T14:53:57Z</cp:lastPrinted>
  <dcterms:created xsi:type="dcterms:W3CDTF">2005-04-14T02:47:41Z</dcterms:created>
  <dcterms:modified xsi:type="dcterms:W3CDTF">2018-06-30T17:52:09Z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