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70" tabRatio="214" activeTab="0"/>
  </bookViews>
  <sheets>
    <sheet name="PROC1" sheetId="1" r:id="rId1"/>
    <sheet name="PRINT1" sheetId="2" r:id="rId2"/>
    <sheet name="NORMA" sheetId="3" r:id="rId3"/>
    <sheet name="TABLA" sheetId="4" r:id="rId4"/>
    <sheet name="Tabprima" sheetId="5" r:id="rId5"/>
    <sheet name="clave" sheetId="6" r:id="rId6"/>
  </sheets>
  <definedNames/>
  <calcPr fullCalcOnLoad="1"/>
</workbook>
</file>

<file path=xl/comments1.xml><?xml version="1.0" encoding="utf-8"?>
<comments xmlns="http://schemas.openxmlformats.org/spreadsheetml/2006/main">
  <authors>
    <author>familia</author>
    <author>Leonardo</author>
  </authors>
  <commentList>
    <comment ref="D54" authorId="0">
      <text>
        <r>
          <rPr>
            <b/>
            <sz val="9"/>
            <rFont val="Tahoma"/>
            <family val="2"/>
          </rPr>
          <t xml:space="preserve">Art 387 ET, </t>
        </r>
        <r>
          <rPr>
            <sz val="9"/>
            <rFont val="Tahoma"/>
            <family val="2"/>
          </rPr>
          <t xml:space="preserve">El trabajador podrá disminuir de su base de retención lo dispuesto en el inciso anterior; los pagos por salud, siempre que el valor a disminuir mensualmente, en este último caso, no supere dieciséis (16) UVT mensuales; y una deducción mensual de hasta el 10% del total de los ingresos brutos provenientes de la relación laboral o legal y reglamentaria del respectivo mes por concepto de dependientes, hasta un máximo de treinta y dos (32) UVT mensuales. Las deducciones establecidas en este artículo se tendrán en cuenta en la declaración ordinaria del Impuesto sobre la Renta. Los pagos por salud deberán cumplir las condiciones de control que señale el Gobierno Nacional:
a) Los pagos efectuados por contratos de prestación de servicios a empresas de medicina prepagada vigiladas por la Superintendencia Nacional de Salud, que impliquen protección al trabajador, su cónyuge, sus hijos y/o dependientes.
b) Los pagos efectuados por seguros de salud, expedidos por compañías de seguros vigiladas por la Superintendencia Financiera de Colombia, con la misma limitación del literal anterior.
</t>
        </r>
        <r>
          <rPr>
            <b/>
            <sz val="9"/>
            <rFont val="Tahoma"/>
            <family val="2"/>
          </rPr>
          <t>PARÁGRAFO 1o.</t>
        </r>
        <r>
          <rPr>
            <sz val="9"/>
            <rFont val="Tahoma"/>
            <family val="2"/>
          </rPr>
          <t xml:space="preserve"> Cuando se trate del Procedimiento de Retención número dos, el valor que sea procedente disminuir mensualmente, determinado en la forma señalada en el presente artículo, se tendrá en cuenta tanto para calcular el porcentaje fijo de retención semestral, como para determinar la base sometida a retención.
Los pagos efectuados en el año gravable inmediatamente anterior por contratos de prestación de servicios a empresas de medicina prepagada vigiladas por la Superintendencia Nacional de Salud y por seguros de salud, expedidos por compañías de seguros vigiladas por la Superintendencia Financiera de Colombia, que impliquen protección al trabajador, su cónyuge, sus hijos y/o dependientes y sin exceder de dieciséis (16) UVT mensuales (equivalentes a $ 429.000).  Oficio 041556 de 2013 (Julio 8) </t>
        </r>
      </text>
    </comment>
    <comment ref="D55" authorId="0">
      <text>
        <r>
          <rPr>
            <sz val="9"/>
            <rFont val="Tahoma"/>
            <family val="2"/>
          </rPr>
          <t>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23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t>
        </r>
        <r>
          <rPr>
            <b/>
            <sz val="9"/>
            <rFont val="Tahoma"/>
            <family val="2"/>
          </rPr>
          <t xml:space="preserve">
</t>
        </r>
      </text>
    </comment>
    <comment ref="D34" authorId="0">
      <text>
        <r>
          <rPr>
            <b/>
            <sz val="9"/>
            <rFont val="Tahoma"/>
            <family val="2"/>
          </rPr>
          <t xml:space="preserve">Por el método 1, este valor debe calcularse de forma independiente
</t>
        </r>
      </text>
    </comment>
    <comment ref="D53" authorId="0">
      <text>
        <r>
          <rPr>
            <b/>
            <sz val="9"/>
            <rFont val="Tahoma"/>
            <family val="2"/>
          </rPr>
          <t xml:space="preserve">Los pagos efectuados en el año gravable inmediatamente anterior por concepto de intereses o corrección monetaria en virtud de préstamos para la adquisición de vivienda o costo financiero en virtud de un contrato de leasing que tenga por objeto un bien inmueble destinado a vivienda del trabajador, sin exceder de cien (100) UVT mensuales (artículos 119 y 387 E.T.). Oficio 041556 de 2013 (Julio 8) </t>
        </r>
      </text>
    </comment>
    <comment ref="D14" authorId="0">
      <text>
        <r>
          <rPr>
            <b/>
            <sz val="8"/>
            <rFont val="Tahoma"/>
            <family val="2"/>
          </rPr>
          <t>Seleccione si el contribuyente es declarante o no declarante</t>
        </r>
      </text>
    </comment>
    <comment ref="D29" authorId="0">
      <text>
        <r>
          <rPr>
            <b/>
            <sz val="8"/>
            <rFont val="Tahoma"/>
            <family val="2"/>
          </rPr>
          <t xml:space="preserve">DOCTRINA. No se deben incluir los valores pagados a terceros por alimentación del trabajador en los certificados de ingresos y retenciones, cuando dichos pagos no excedan de (41 UVT) mensuales. “El parágrafo 4 del articulo 1° del Decreto 1345 de 1999 dispuso que en el certificado de ingresos y retenciones debía incluirse el valor de los vales o tiquetes para la adquisición de alimentos. Ese parágrafo fue demandado y el Consejo de Estado en sentencia del 14 de abril de 2000 declaro su nulidad.
Así las cosas, con base en la citada sentencia es de concluir que los certif icados de ingresos y retenciones no deben incorporar el valor de los vales o tiquetes para la adquisición de alimentos por parte del trabajador, en la medida en que, como lo expresa  el  artículo 387-1  del  estatuto  tributario, no constituyen ingreso  para  el mismo. Empero, si  estos  pagos  a  terceros por concepto de  alimentación para  el trabajador  o  su  f familia  exceden  el  valor  de  (…)  (Hoy:  41  UVT ),  tal  exceso  si  deberá  incluirse tanto en la base  de  retención en la fuente por pagos  laborales,  como en  el  certif icado de  ingresos  y  retenciones”. (DIAN, Conc. 53743, ago.22/2002).
</t>
        </r>
        <r>
          <rPr>
            <sz val="8"/>
            <rFont val="Tahoma"/>
            <family val="2"/>
          </rPr>
          <t xml:space="preserve">
</t>
        </r>
      </text>
    </comment>
    <comment ref="D32" authorId="1">
      <text>
        <r>
          <rPr>
            <b/>
            <sz val="9"/>
            <rFont val="Tahoma"/>
            <family val="2"/>
          </rPr>
          <t>Concepto 24990 de abril de 2014</t>
        </r>
        <r>
          <rPr>
            <sz val="9"/>
            <rFont val="Tahoma"/>
            <family val="2"/>
          </rPr>
          <t xml:space="preserve">
En conclusión para el caso que nos ocupa el pago de las cesantías e intereses a las mismas no hacen parte de la base gravable para la aplicación del artículo 384 del E.T. por cuanto la base será la determinada mediante el procedimiento previsto en el artículo 2 del Decreto 1070 de 2013 antes explicado.</t>
        </r>
      </text>
    </comment>
    <comment ref="D47" authorId="0">
      <text>
        <r>
          <rPr>
            <b/>
            <sz val="9"/>
            <rFont val="Tahoma"/>
            <family val="2"/>
          </rPr>
          <t xml:space="preserve">ARTÍCULO 56. APORTES OBLIGATORIOS AL SISTEMA GENERAL DE SALUD. </t>
        </r>
        <r>
          <rPr>
            <sz val="9"/>
            <rFont val="Tahoma"/>
            <family val="2"/>
          </rPr>
          <t xml:space="preserve">Los aportes obligatorios que efectúen los trabajadores, empleadores y afiliados al Sistema General de Seguridad Social en Salud no harán parte de la base para aplicar la retención en la fuente por salarios, y serán considerados como un ingreso no constitutivo de renta ni de ganancia ocasional.
</t>
        </r>
      </text>
    </comment>
  </commentList>
</comments>
</file>

<file path=xl/comments2.xml><?xml version="1.0" encoding="utf-8"?>
<comments xmlns="http://schemas.openxmlformats.org/spreadsheetml/2006/main">
  <authors>
    <author>familia</author>
  </authors>
  <commentList>
    <comment ref="D48" authorId="0">
      <text>
        <r>
          <rPr>
            <b/>
            <sz val="9"/>
            <rFont val="Tahoma"/>
            <family val="2"/>
          </rPr>
          <t>Deducción de los aportes obligatorios</t>
        </r>
        <r>
          <rPr>
            <sz val="9"/>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 ref="D49" authorId="0">
      <text>
        <r>
          <rPr>
            <b/>
            <sz val="9"/>
            <rFont val="Tahoma"/>
            <family val="2"/>
          </rPr>
          <t>Deducción de los aportes obligatorios</t>
        </r>
        <r>
          <rPr>
            <sz val="9"/>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 ref="D51" authorId="0">
      <text>
        <r>
          <rPr>
            <b/>
            <sz val="9"/>
            <rFont val="Tahoma"/>
            <family val="2"/>
          </rPr>
          <t>Deducción de los aportes obligatorios</t>
        </r>
        <r>
          <rPr>
            <sz val="9"/>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 ref="D50" authorId="0">
      <text>
        <r>
          <rPr>
            <b/>
            <sz val="9"/>
            <rFont val="Tahoma"/>
            <family val="2"/>
          </rPr>
          <t>Deducción de los aportes obligatorios</t>
        </r>
        <r>
          <rPr>
            <sz val="9"/>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List>
</comments>
</file>

<file path=xl/sharedStrings.xml><?xml version="1.0" encoding="utf-8"?>
<sst xmlns="http://schemas.openxmlformats.org/spreadsheetml/2006/main" count="194" uniqueCount="152">
  <si>
    <t>&gt;0</t>
  </si>
  <si>
    <t>En adelante</t>
  </si>
  <si>
    <t>240 UVT</t>
  </si>
  <si>
    <t>MÁS</t>
  </si>
  <si>
    <t>UVT</t>
  </si>
  <si>
    <t>TOTAL INGRESOS AÑO ANTERIOR</t>
  </si>
  <si>
    <t>Art. 383 del ET (Art. 23 ley 1111 de 2006)</t>
  </si>
  <si>
    <t>Tabla netamente informativa</t>
  </si>
  <si>
    <t>NORMATIVIDAD  RETEFUENTE  SOBRE SALARIOS</t>
  </si>
  <si>
    <t xml:space="preserve">OBSERVACIONES                                                                                                                                           </t>
  </si>
  <si>
    <t>Se deben incluir en la depuración de ingresos:</t>
  </si>
  <si>
    <t xml:space="preserve">Se deben incluir  conceptos tales como sueldos, horas extras, recargos nocturnos, recargos dominicales, porcentajes sobre ventas, sobresueldos, comisiones, bonificaciones, ocasionales y extralegales,  vacaciones, primas extralegales  etc. (Art. 127 y 128 CST) </t>
  </si>
  <si>
    <t>Recuerde que la prima legal de servicios para el sector Privado, o prima de navidad  para el sector público en el procedimiento N. 1 se calcula de forma independiente, mientras que  en el procedimiento N. 2 forma parte de la depuración de la base. (Art. 385 ET)</t>
  </si>
  <si>
    <t>Casos especiales de ingresos:</t>
  </si>
  <si>
    <t>Las indemnizaciones  por despido injustificado tiene el siguiente tratamiento: Para trabajadores  que devenguen ingresos inferiores o iguales a 204 UVT  la tarifa es 0%; si los ingresos son superiores a 204 UVT la tarifa es del 20%  (Art. 401-3 del ET) (Concepto DIAN 15071 de marzo de 2003) sin perjuicio de la parte exenta  que establece el Art. 206 Numeral 10 del ET.</t>
  </si>
  <si>
    <t>La retefuente sobre  las bonificaciones  por retiro  definitivo  originadas  de una relación  laboral  o legal reglamentaria  se  calcula de acuerdo al Art. 401-3 del ET.</t>
  </si>
  <si>
    <t>Para los empleados que devenguen salario integral,  se sigue el mismo procedimiento que para los   trabajadores con salario ordinario, y la base de cotización  para pensión se calculará sobre el 70% de dicho salario (Art 206 del ET; Art. 96 de la Ley 223/95; Art. 65 DR 806/98</t>
  </si>
  <si>
    <r>
      <t>No se debe incluir en los ingresos</t>
    </r>
    <r>
      <rPr>
        <b/>
        <sz val="10"/>
        <rFont val="Tahoma"/>
        <family val="2"/>
      </rPr>
      <t>:</t>
    </r>
  </si>
  <si>
    <r>
      <t>Reembolsos de gastos</t>
    </r>
    <r>
      <rPr>
        <sz val="10"/>
        <rFont val="Tahoma"/>
        <family val="2"/>
      </rPr>
      <t>: Los Reembolsos de gastos  no están sometidos a la depuración de retefuente por salarios  si  los trabajadores  entregan al pagador los soportes para que este los contabilice como gasto (DR 535/87 Art. 10); si los gastos son retribución  ordinaria del servicio forma parte de la base de la depuración tanto del procedimiento N. 1 y 2 (Art. 8 DR 823/87)</t>
    </r>
  </si>
  <si>
    <t>Los viáticos ocasionales tampoco se incluyen en  la base del cálculo.</t>
  </si>
  <si>
    <r>
      <t>Medios de Transporte:</t>
    </r>
    <r>
      <rPr>
        <sz val="10"/>
        <rFont val="Tahoma"/>
        <family val="2"/>
      </rPr>
      <t xml:space="preserve"> Estos pagos, diferentes al subsidio de transporte, para el  de las funciones del empleado no es un ingreso tributario, precisamente por no ser para su beneficio  ni para subvenir a sus necesidades, por consiguiente no está sometido a retención en la fuente. Dentro de tal naturaleza quedan comprendidos los pagos hechos a mensajeros, estafetas etc., quienes deben cumplir funciones fuera de su sede habitual de trabajo. </t>
    </r>
  </si>
  <si>
    <t>(El patrono podrá demostrar la calidad de dichos pagos con los comprobantes de egreso y la relación de funciones que cumple el trabajador (Concepto DIAN 18381, Jul 30/909)</t>
  </si>
  <si>
    <r>
      <t>Viáticos de empleados oficiales:</t>
    </r>
    <r>
      <rPr>
        <sz val="10"/>
        <rFont val="Tahoma"/>
        <family val="2"/>
      </rPr>
      <t xml:space="preserve"> Las sumas recibidas por los empleados oficiales cuya vinculación  se origine en su relación legal o reglamentaria, por concepto de viáticos destinados a sufragar exclusivamente  sus gastos de manutención  y alojamiento  durante el desempeño de comisiones oficiales, que no correspondan a  retribución ordinaria del servicio, no se consideran  para los efectos fiscales  como ingresos gravados en cabeza del trabajador, sino como gasto directo de la respectiva entidad pagadora  (Art. 8 DR 823/87) </t>
    </r>
  </si>
  <si>
    <t xml:space="preserve"> Otras observaciones:</t>
  </si>
  <si>
    <t>www.consultorcontable.com</t>
  </si>
  <si>
    <t xml:space="preserve">      Digite los datos del empleado</t>
  </si>
  <si>
    <t>16 UVT</t>
  </si>
  <si>
    <r>
      <t xml:space="preserve">Art. 387 del ET . </t>
    </r>
    <r>
      <rPr>
        <b/>
        <sz val="10"/>
        <rFont val="Tahoma"/>
        <family val="2"/>
      </rPr>
      <t>Deducciones que se restarán de la base de retención</t>
    </r>
    <r>
      <rPr>
        <sz val="10"/>
        <rFont val="Tahoma"/>
        <family val="2"/>
      </rPr>
      <t xml:space="preserve">. En el caso de trabajadores que tengan derecho a la deducción por intereses o corrección monetaria en virtud de préstamos para adquisición de vivienda, la base de retención se disminuirá proporcionalmente en la forma que indique el reglamento.
El trabajador podrá disminuir de su base de retención lo dispuesto en el inciso anterior; los pagos por salud, siempre que el valor a disminuir mensualmente, en este último caso, no supere dieciséis (16) UVT mensuales; y una deducción mensual de hasta el 10% del total de los ingresos brutos provenientes de la relación laboral o legal y reglamentaria del respectivo mes por concepto de dependientes, hasta un máximo de treinta y dos (32) UVT mensuales. Las deducciones establecidas en este artículo se tendrán en cuenta en la declaración ordinaria del Impuesto sobre la Renta. Los pagos por salud deberán cumplir las condiciones de control que señale el Gobierno Nacional:
a. Los pagos efectuados por contratos de prestación de servicios a empresas de medicina prepagada vigiladas por la Superintendencia Nacional de Salud, que impliquen protección al trabajador, su cónyuge, sus hijos y/o dependientes.
b. Los pagos efectuados por seguros de salud, expedidos por compañías de seguros vigiladas por la Superintendencia Financiera de Colombia, con la misma limitación del literal anterior.
Parágrafo 1. Cuando se trate del Procedimiento de Retención Número dos, el valor que sea procedente disminuir mensualmente, determinado en la forma señalada en el presente artículo, se tendrá en cuenta tanto para calcular el porcentaje fijo de retención semestral, como para determinar la base sometida a retención.
Parágrafo  2. Definición de dependientes:
Para propósitos de este artículo tendrán la  calidad de dependientes:
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23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
</t>
    </r>
  </si>
  <si>
    <t>Si los pagos se realizan en periodos inferiores a 30 días, se debe dividir los  pagos gravables recibidos directa o indirectamente  en el número de días a que correspondan tales pagos y su resultado se multiplica por 30  Art. 385 del ET</t>
  </si>
  <si>
    <t>Procedimiento No. 1</t>
  </si>
  <si>
    <t>Digite el nombre de la empresa</t>
  </si>
  <si>
    <t>Datos</t>
  </si>
  <si>
    <t>Limites</t>
  </si>
  <si>
    <t>Depuración</t>
  </si>
  <si>
    <t>Mes</t>
  </si>
  <si>
    <t xml:space="preserve">Valor UVT </t>
  </si>
  <si>
    <t>Conceptos</t>
  </si>
  <si>
    <t>Subtotal  (A)</t>
  </si>
  <si>
    <t>Total deducciones</t>
  </si>
  <si>
    <t>Subtotal  (C)</t>
  </si>
  <si>
    <t>Base Gravable (Ver Tabla)</t>
  </si>
  <si>
    <t>Rangos en  UVT</t>
  </si>
  <si>
    <t>Desde</t>
  </si>
  <si>
    <t>Hasta</t>
  </si>
  <si>
    <t>Tarifa marginal</t>
  </si>
  <si>
    <t>Impuesto</t>
  </si>
  <si>
    <t>Resultado</t>
  </si>
  <si>
    <t>Tabla de retención en la fuente para ingresos laborales</t>
  </si>
  <si>
    <t>Sueldo</t>
  </si>
  <si>
    <t>Auxilio de transporte</t>
  </si>
  <si>
    <t>Comisiones</t>
  </si>
  <si>
    <t>Horas extras</t>
  </si>
  <si>
    <t>Recargos nocturnos y dominicales</t>
  </si>
  <si>
    <t>Bonificaciones</t>
  </si>
  <si>
    <t>Incapacidades</t>
  </si>
  <si>
    <t>Vacaciones</t>
  </si>
  <si>
    <t>Primas extralegales</t>
  </si>
  <si>
    <t xml:space="preserve"> </t>
  </si>
  <si>
    <t>Digite nombre del trabajador</t>
  </si>
  <si>
    <t>Declarante</t>
  </si>
  <si>
    <t>Prima</t>
  </si>
  <si>
    <t>Salarios</t>
  </si>
  <si>
    <t xml:space="preserve">Prima </t>
  </si>
  <si>
    <t>Menos renta exenta 25%</t>
  </si>
  <si>
    <t>Limite 240 UVT</t>
  </si>
  <si>
    <t>Base de retención prima</t>
  </si>
  <si>
    <t>Exceso de las 41 UVT por pagos por concepto de alimentación (art 387-1 ET)</t>
  </si>
  <si>
    <t>Otros auxilios (movilidad, alimentación, etc.)</t>
  </si>
  <si>
    <t>Viáticos</t>
  </si>
  <si>
    <t>100 UVT , promedio año anterior</t>
  </si>
  <si>
    <t>Formulas Limites</t>
  </si>
  <si>
    <t/>
  </si>
  <si>
    <t>Menos Deducciones</t>
  </si>
  <si>
    <t>__________________</t>
  </si>
  <si>
    <t>Revisó</t>
  </si>
  <si>
    <t>Menos rentas exentas</t>
  </si>
  <si>
    <t>Menos deducciones</t>
  </si>
  <si>
    <t>Aportes a Fondos de Pensiones Voluntarias (art. 126-1 ET)</t>
  </si>
  <si>
    <t>Por dependientes (Art 387 ET)</t>
  </si>
  <si>
    <t>Menos renta exenta -25%  del subtotal (C)  (Numeral 10 art. 206 ET)</t>
  </si>
  <si>
    <t>Total pagos laborales en el mes</t>
  </si>
  <si>
    <t>Aportes voluntarios del empleador a Fondos de Pensiones (art. 126-1 ET)</t>
  </si>
  <si>
    <t>Fondo de Solidaridad Pensional</t>
  </si>
  <si>
    <t>Valor retención en la fuente Art. 383 ET</t>
  </si>
  <si>
    <t>Valor retención en la fuente a practicar por prima de servicios (art. 383 ET)</t>
  </si>
  <si>
    <t>25% prima</t>
  </si>
  <si>
    <t>Total 25%</t>
  </si>
  <si>
    <t>No declarante</t>
  </si>
  <si>
    <t>Total retenciones a practicar (Art. 383 ET)</t>
  </si>
  <si>
    <t xml:space="preserve">CC. </t>
  </si>
  <si>
    <t>Licencia de maternidad</t>
  </si>
  <si>
    <t>Intereses por prestamos de vivienda (promedio año anterior o los meses correspondientes)</t>
  </si>
  <si>
    <t>Pagos por salud prepagada, Plan complementario de salud, o seguros de salud (art 387 ET)- Promedio del año anterior</t>
  </si>
  <si>
    <t xml:space="preserve">Total Ingresos mes </t>
  </si>
  <si>
    <t>Otros ingresos laborales- Bonos, cheques electrónicos, pagos indirectos</t>
  </si>
  <si>
    <t>Total Ingresos mes (sin cesantías, prima, e intereses de cesantías)</t>
  </si>
  <si>
    <t>Aportes voluntarios del empleador a fondos de pensiones  (art 126-1 ET)</t>
  </si>
  <si>
    <t>http://www.consultorcontable.com/retenci%C3%B3n-salarios/</t>
  </si>
  <si>
    <t xml:space="preserve">www.consultorcontable.com </t>
  </si>
  <si>
    <t>Aportes obligatorios a Fondos de Pensiones (art. 55 ET)</t>
  </si>
  <si>
    <t>Sin límites</t>
  </si>
  <si>
    <t>Total renta exentas</t>
  </si>
  <si>
    <t>Total renta exentas (incluye el 25%) y deducciones</t>
  </si>
  <si>
    <t>Base</t>
  </si>
  <si>
    <t>No puede exceder de 5.040 UVT</t>
  </si>
  <si>
    <t>Cesantías (no se tienen en cuenta para efectos de la retención en la fuente)</t>
  </si>
  <si>
    <t>Intereses sobre cesantías  (no se tienen en cuenta para efectos de la retención en la fuente)</t>
  </si>
  <si>
    <t>Subtotal  (B)</t>
  </si>
  <si>
    <t>Límite del 40% sobre RE y Deducciones (excluir cesantías)</t>
  </si>
  <si>
    <t>Subtotal  (A) (total ingresos)- sin cesantías ni intereses de cesantías</t>
  </si>
  <si>
    <t>Menos ingresos no constitutivos de renta ni ganancia ocasional</t>
  </si>
  <si>
    <t>Total ingresos no constitutivos de renta ni ganancia ocasional</t>
  </si>
  <si>
    <t>Valor de la prima de servicios</t>
  </si>
  <si>
    <t>Año 2018</t>
  </si>
  <si>
    <t>Indemnizaciones por accidentes de trabajo o enfermedad (art 206 ET Num 1)</t>
  </si>
  <si>
    <t>Gastos de entierro del trabajador (art 206 ET Num 3)</t>
  </si>
  <si>
    <t>Descuentos hechos por la empresa con destino a cuentas AFC, AVC (art 126-4 ET)</t>
  </si>
  <si>
    <t>Enero de 2019</t>
  </si>
  <si>
    <t>Febrero de 2019</t>
  </si>
  <si>
    <t>Marzo de 2019</t>
  </si>
  <si>
    <t>Abril de 2019</t>
  </si>
  <si>
    <t>Mayo de 2019</t>
  </si>
  <si>
    <t>Junio de 2019</t>
  </si>
  <si>
    <t>Julio de 2019</t>
  </si>
  <si>
    <t>Agosto de 2019</t>
  </si>
  <si>
    <t>Septiembre de 2019</t>
  </si>
  <si>
    <t>Octubre de 2019</t>
  </si>
  <si>
    <t>Noviembre de 2019</t>
  </si>
  <si>
    <t>Diciembre de 2019</t>
  </si>
  <si>
    <t>Año 2019</t>
  </si>
  <si>
    <t xml:space="preserve">Art. 383 del ET </t>
  </si>
  <si>
    <t>(Ingreso laboral gravado expresado en UVT menos 87 UVT)*19%</t>
  </si>
  <si>
    <t>(Ingreso laboral gravado expresado en UVT menos 145 UVT)*28% más 11 UVT</t>
  </si>
  <si>
    <t>(Ingreso laboral gravado expresado en UVT menos 335 UVT)*33% más 64 UVT</t>
  </si>
  <si>
    <t>(Ingreso laboral gravado expresado en UVT menos 640 UVT)*35% más 165 UVT</t>
  </si>
  <si>
    <t>(Ingreso laboral gravado expresado en UVT menos 945 UVT)*37% más 272 UVT</t>
  </si>
  <si>
    <t>(Ingreso laboral gravado expresado en UVT menos 2300 UVT)*39% más 773 UVT</t>
  </si>
  <si>
    <t>25 % del ingreso laboral y hasta 2.500 UVT</t>
  </si>
  <si>
    <r>
      <t xml:space="preserve">Aportes voluntarios a fondos de pensiones obligatorios (Régimen ahorro individual) </t>
    </r>
    <r>
      <rPr>
        <sz val="8"/>
        <rFont val="Arial"/>
        <family val="2"/>
      </rPr>
      <t>(Art. 55 ET)</t>
    </r>
  </si>
  <si>
    <t>Renta exenta 25% sueldo</t>
  </si>
  <si>
    <t>Este aplicativo funciona correctamente mientras esté vigente la normatividad  que a enero de  2019 está vigente.</t>
  </si>
  <si>
    <t>El aplicativo calcúla la retefuente de la prima de forma independiente</t>
  </si>
  <si>
    <t>(30%) del ingreso laboral o ingreso tributario del año, y hasta (3.800) UVT por año.</t>
  </si>
  <si>
    <t>Indemnizaciones proteccion a la maternidad (art 206 ET Num 2)</t>
  </si>
  <si>
    <t>Otras rentas exentas (Art. 206 ET)</t>
  </si>
  <si>
    <t>Gastos de representación de los rectores y profesores de las U. públ. (art 206 ET Num 9)</t>
  </si>
  <si>
    <t>Aportes obligatorios al sistema de salud (art. 56 ET)</t>
  </si>
  <si>
    <t>Hasta 10% del total de ingresos brutos laborales  y hasta 32 UVT</t>
  </si>
  <si>
    <t>William Dussan Salazar</t>
  </si>
  <si>
    <t>Leonardo Varón García</t>
  </si>
  <si>
    <t xml:space="preserve">       leovarong@yahoo.com</t>
  </si>
  <si>
    <t>consultorcontable1@gmail.com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</si>
</sst>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_ * #,##0.0_ ;_ * \-#,##0.0_ ;_ * &quot;-&quot;??_ ;_ @_ "/>
    <numFmt numFmtId="195" formatCode="_ * #,##0_ ;_ * \-#,##0_ ;_ * &quot;-&quot;??_ ;_ @_ "/>
    <numFmt numFmtId="196" formatCode="&quot;$&quot;\ #,##0"/>
    <numFmt numFmtId="197" formatCode="0.0000"/>
    <numFmt numFmtId="198" formatCode="0.000"/>
    <numFmt numFmtId="199" formatCode="0.0"/>
    <numFmt numFmtId="200" formatCode="_ &quot;$&quot;\ * #,##0.0_ ;_ &quot;$&quot;\ * \-#,##0.0_ ;_ &quot;$&quot;\ * &quot;-&quot;??_ ;_ @_ "/>
    <numFmt numFmtId="201" formatCode="_ &quot;$&quot;\ * #,##0_ ;_ &quot;$&quot;\ * \-#,##0_ ;_ &quot;$&quot;\ * &quot;-&quot;??_ ;_ @_ "/>
    <numFmt numFmtId="202" formatCode="0.0%"/>
    <numFmt numFmtId="203" formatCode="0_ ;\-0\ "/>
    <numFmt numFmtId="204" formatCode="[$-240A]dddd\,\ dd&quot; de &quot;mmmm&quot; de &quot;yy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 #,##0_);_(* \(#,##0\);_(* &quot;-&quot;??_);_(@_)"/>
    <numFmt numFmtId="210" formatCode="[$-C0A]d\-mmm\-yy;@"/>
    <numFmt numFmtId="211" formatCode="0.000%"/>
    <numFmt numFmtId="212" formatCode="_ * #,##0.0_ ;_ * \-#,##0.0_ ;_ * &quot;-&quot;_ ;_ @_ "/>
    <numFmt numFmtId="213" formatCode="_-* #,##0.0_-;\-* #,##0.0_-;_-* &quot;-&quot;?_-;_-@_-"/>
  </numFmts>
  <fonts count="115">
    <font>
      <sz val="10"/>
      <name val="Arial"/>
      <family val="0"/>
    </font>
    <font>
      <sz val="8"/>
      <name val="Arial"/>
      <family val="2"/>
    </font>
    <font>
      <b/>
      <sz val="10"/>
      <name val="Arial"/>
      <family val="2"/>
    </font>
    <font>
      <sz val="11"/>
      <name val="Arial"/>
      <family val="2"/>
    </font>
    <font>
      <sz val="11"/>
      <color indexed="13"/>
      <name val="Verdana"/>
      <family val="2"/>
    </font>
    <font>
      <b/>
      <sz val="10"/>
      <color indexed="9"/>
      <name val="Arial"/>
      <family val="2"/>
    </font>
    <font>
      <sz val="10"/>
      <color indexed="9"/>
      <name val="Arial"/>
      <family val="2"/>
    </font>
    <font>
      <u val="single"/>
      <sz val="10"/>
      <color indexed="12"/>
      <name val="Arial"/>
      <family val="2"/>
    </font>
    <font>
      <u val="single"/>
      <sz val="10"/>
      <color indexed="36"/>
      <name val="Arial"/>
      <family val="2"/>
    </font>
    <font>
      <sz val="10"/>
      <color indexed="13"/>
      <name val="Arial"/>
      <family val="2"/>
    </font>
    <font>
      <b/>
      <sz val="10"/>
      <name val="Tahoma"/>
      <family val="2"/>
    </font>
    <font>
      <b/>
      <sz val="12"/>
      <name val="Arial"/>
      <family val="2"/>
    </font>
    <font>
      <b/>
      <sz val="12"/>
      <color indexed="11"/>
      <name val="Tahoma"/>
      <family val="2"/>
    </font>
    <font>
      <i/>
      <sz val="11"/>
      <name val="Arial"/>
      <family val="2"/>
    </font>
    <font>
      <b/>
      <sz val="11"/>
      <color indexed="9"/>
      <name val="Arial"/>
      <family val="2"/>
    </font>
    <font>
      <b/>
      <sz val="12"/>
      <name val="Tahoma"/>
      <family val="2"/>
    </font>
    <font>
      <sz val="10"/>
      <color indexed="56"/>
      <name val="Arial"/>
      <family val="2"/>
    </font>
    <font>
      <sz val="12"/>
      <name val="Times New Roman"/>
      <family val="1"/>
    </font>
    <font>
      <sz val="10"/>
      <name val="Tahoma"/>
      <family val="2"/>
    </font>
    <font>
      <sz val="12"/>
      <name val="Tahoma"/>
      <family val="2"/>
    </font>
    <font>
      <sz val="9"/>
      <name val="Tahoma"/>
      <family val="2"/>
    </font>
    <font>
      <b/>
      <sz val="9"/>
      <name val="Tahoma"/>
      <family val="2"/>
    </font>
    <font>
      <sz val="10"/>
      <color indexed="8"/>
      <name val="Arial"/>
      <family val="2"/>
    </font>
    <font>
      <b/>
      <sz val="14"/>
      <color indexed="11"/>
      <name val="Arial"/>
      <family val="2"/>
    </font>
    <font>
      <b/>
      <sz val="16"/>
      <color indexed="11"/>
      <name val="Arial"/>
      <family val="2"/>
    </font>
    <font>
      <b/>
      <sz val="10"/>
      <color indexed="11"/>
      <name val="Arial"/>
      <family val="2"/>
    </font>
    <font>
      <sz val="11"/>
      <color indexed="13"/>
      <name val="Arial"/>
      <family val="2"/>
    </font>
    <font>
      <b/>
      <sz val="14"/>
      <color indexed="13"/>
      <name val="Arial"/>
      <family val="2"/>
    </font>
    <font>
      <b/>
      <sz val="12"/>
      <color indexed="13"/>
      <name val="Arial"/>
      <family val="2"/>
    </font>
    <font>
      <sz val="10"/>
      <color indexed="12"/>
      <name val="Arial"/>
      <family val="2"/>
    </font>
    <font>
      <b/>
      <sz val="10"/>
      <color indexed="13"/>
      <name val="Arial"/>
      <family val="2"/>
    </font>
    <font>
      <b/>
      <sz val="11"/>
      <color indexed="13"/>
      <name val="Arial"/>
      <family val="2"/>
    </font>
    <font>
      <b/>
      <sz val="12"/>
      <color indexed="53"/>
      <name val="Arial"/>
      <family val="2"/>
    </font>
    <font>
      <sz val="7"/>
      <name val="Arial"/>
      <family val="2"/>
    </font>
    <font>
      <b/>
      <sz val="7"/>
      <name val="Arial"/>
      <family val="2"/>
    </font>
    <font>
      <b/>
      <sz val="10"/>
      <color indexed="10"/>
      <name val="Arial"/>
      <family val="2"/>
    </font>
    <font>
      <b/>
      <sz val="11"/>
      <color indexed="53"/>
      <name val="Arial"/>
      <family val="2"/>
    </font>
    <font>
      <b/>
      <sz val="8"/>
      <name val="Arial"/>
      <family val="2"/>
    </font>
    <font>
      <b/>
      <sz val="10"/>
      <color indexed="53"/>
      <name val="Arial"/>
      <family val="2"/>
    </font>
    <font>
      <sz val="8"/>
      <color indexed="9"/>
      <name val="Arial"/>
      <family val="2"/>
    </font>
    <font>
      <b/>
      <sz val="14"/>
      <name val="Arial"/>
      <family val="2"/>
    </font>
    <font>
      <b/>
      <sz val="16"/>
      <name val="Arial"/>
      <family val="2"/>
    </font>
    <font>
      <sz val="6"/>
      <name val="Arial"/>
      <family val="2"/>
    </font>
    <font>
      <b/>
      <sz val="11"/>
      <name val="Arial"/>
      <family val="2"/>
    </font>
    <font>
      <sz val="12"/>
      <name val="Arial"/>
      <family val="2"/>
    </font>
    <font>
      <b/>
      <sz val="8"/>
      <name val="Tahoma"/>
      <family val="2"/>
    </font>
    <font>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2"/>
      <name val="Tahoma"/>
      <family val="2"/>
    </font>
    <font>
      <b/>
      <sz val="20"/>
      <color indexed="9"/>
      <name val="Times New Roman"/>
      <family val="1"/>
    </font>
    <font>
      <u val="single"/>
      <sz val="10"/>
      <color indexed="9"/>
      <name val="Arial"/>
      <family val="2"/>
    </font>
    <font>
      <sz val="10"/>
      <color indexed="10"/>
      <name val="Arial"/>
      <family val="2"/>
    </font>
    <font>
      <sz val="6"/>
      <color indexed="9"/>
      <name val="Arial"/>
      <family val="2"/>
    </font>
    <font>
      <b/>
      <sz val="8"/>
      <color indexed="10"/>
      <name val="Arial"/>
      <family val="2"/>
    </font>
    <font>
      <sz val="7"/>
      <color indexed="10"/>
      <name val="Arial"/>
      <family val="2"/>
    </font>
    <font>
      <b/>
      <sz val="7"/>
      <color indexed="10"/>
      <name val="Arial"/>
      <family val="2"/>
    </font>
    <font>
      <sz val="8"/>
      <color indexed="10"/>
      <name val="Arial"/>
      <family val="2"/>
    </font>
    <font>
      <sz val="9"/>
      <color indexed="10"/>
      <name val="Arial"/>
      <family val="2"/>
    </font>
    <font>
      <sz val="11"/>
      <color indexed="8"/>
      <name val="Arial"/>
      <family val="2"/>
    </font>
    <font>
      <b/>
      <sz val="14"/>
      <color indexed="10"/>
      <name val="Arial"/>
      <family val="2"/>
    </font>
    <font>
      <sz val="14"/>
      <color indexed="10"/>
      <name val="Arial"/>
      <family val="2"/>
    </font>
    <font>
      <b/>
      <sz val="11"/>
      <color indexed="10"/>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00FF"/>
      <name val="Tahoma"/>
      <family val="2"/>
    </font>
    <font>
      <b/>
      <sz val="20"/>
      <color theme="0"/>
      <name val="Times New Roman"/>
      <family val="1"/>
    </font>
    <font>
      <u val="single"/>
      <sz val="10"/>
      <color theme="0"/>
      <name val="Arial"/>
      <family val="2"/>
    </font>
    <font>
      <sz val="10"/>
      <color rgb="FFFF0000"/>
      <name val="Arial"/>
      <family val="2"/>
    </font>
    <font>
      <sz val="10"/>
      <color theme="0"/>
      <name val="Arial"/>
      <family val="2"/>
    </font>
    <font>
      <sz val="6"/>
      <color theme="0"/>
      <name val="Arial"/>
      <family val="2"/>
    </font>
    <font>
      <b/>
      <sz val="8"/>
      <color rgb="FFFF0000"/>
      <name val="Arial"/>
      <family val="2"/>
    </font>
    <font>
      <b/>
      <sz val="10"/>
      <color rgb="FFFF0000"/>
      <name val="Arial"/>
      <family val="2"/>
    </font>
    <font>
      <sz val="7"/>
      <color rgb="FFFF0000"/>
      <name val="Arial"/>
      <family val="2"/>
    </font>
    <font>
      <b/>
      <sz val="7"/>
      <color rgb="FFFF0000"/>
      <name val="Arial"/>
      <family val="2"/>
    </font>
    <font>
      <sz val="8"/>
      <color rgb="FFFF0000"/>
      <name val="Arial"/>
      <family val="2"/>
    </font>
    <font>
      <b/>
      <sz val="10"/>
      <color theme="0"/>
      <name val="Arial"/>
      <family val="2"/>
    </font>
    <font>
      <sz val="9"/>
      <color rgb="FFFF0000"/>
      <name val="Arial"/>
      <family val="2"/>
    </font>
    <font>
      <sz val="11"/>
      <color rgb="FF000000"/>
      <name val="Arial"/>
      <family val="2"/>
    </font>
    <font>
      <b/>
      <sz val="14"/>
      <color rgb="FFFF0000"/>
      <name val="Arial"/>
      <family val="2"/>
    </font>
    <font>
      <sz val="11"/>
      <color theme="1"/>
      <name val="Arial"/>
      <family val="2"/>
    </font>
    <font>
      <sz val="12"/>
      <color theme="1"/>
      <name val="Arial"/>
      <family val="2"/>
    </font>
    <font>
      <sz val="14"/>
      <color rgb="FFFF0000"/>
      <name val="Arial"/>
      <family val="2"/>
    </font>
    <font>
      <b/>
      <sz val="11"/>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FF"/>
        <bgColor indexed="64"/>
      </patternFill>
    </fill>
    <fill>
      <patternFill patternType="solid">
        <fgColor rgb="FF002060"/>
        <bgColor indexed="64"/>
      </patternFill>
    </fill>
    <fill>
      <patternFill patternType="solid">
        <fgColor rgb="FF00B050"/>
        <bgColor indexed="64"/>
      </patternFill>
    </fill>
    <fill>
      <patternFill patternType="solid">
        <fgColor rgb="FFFF0000"/>
        <bgColor indexed="64"/>
      </patternFill>
    </fill>
    <fill>
      <patternFill patternType="solid">
        <fgColor indexed="1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medium">
        <color indexed="53"/>
      </left>
      <right>
        <color indexed="63"/>
      </right>
      <top style="medium">
        <color indexed="53"/>
      </top>
      <bottom style="medium">
        <color indexed="53"/>
      </bottom>
    </border>
    <border>
      <left>
        <color indexed="63"/>
      </left>
      <right>
        <color indexed="63"/>
      </right>
      <top style="medium">
        <color indexed="53"/>
      </top>
      <bottom style="medium">
        <color indexed="53"/>
      </bottom>
    </border>
    <border>
      <left>
        <color indexed="63"/>
      </left>
      <right style="medium">
        <color indexed="53"/>
      </right>
      <top style="medium">
        <color indexed="53"/>
      </top>
      <bottom style="medium">
        <color indexed="53"/>
      </bottom>
    </border>
    <border>
      <left style="medium">
        <color indexed="53"/>
      </left>
      <right style="medium">
        <color indexed="53"/>
      </right>
      <top style="medium">
        <color indexed="53"/>
      </top>
      <bottom style="medium">
        <color indexed="5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color rgb="FF000000"/>
      </left>
      <right style="medium">
        <color rgb="FF000000"/>
      </right>
      <top style="medium">
        <color rgb="FF000000"/>
      </top>
      <bottom style="medium">
        <color rgb="FF000000"/>
      </bottom>
    </border>
    <border>
      <left>
        <color indexed="63"/>
      </left>
      <right style="medium"/>
      <top style="medium"/>
      <bottom style="medium"/>
    </border>
    <border>
      <left style="medium"/>
      <right style="thin"/>
      <top style="thin"/>
      <bottom>
        <color indexed="63"/>
      </bottom>
    </border>
    <border>
      <left style="medium"/>
      <right style="medium"/>
      <top>
        <color indexed="63"/>
      </top>
      <bottom style="mediu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2" fillId="21" borderId="1" applyNumberFormat="0" applyAlignment="0" applyProtection="0"/>
    <xf numFmtId="0" fontId="83" fillId="22" borderId="2" applyNumberFormat="0" applyAlignment="0" applyProtection="0"/>
    <xf numFmtId="0" fontId="84" fillId="0" borderId="3" applyNumberFormat="0" applyFill="0" applyAlignment="0" applyProtection="0"/>
    <xf numFmtId="0" fontId="85" fillId="0" borderId="4" applyNumberFormat="0" applyFill="0" applyAlignment="0" applyProtection="0"/>
    <xf numFmtId="0" fontId="86" fillId="0" borderId="0" applyNumberFormat="0" applyFill="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7"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8"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8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90" fillId="21" borderId="6"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86" fillId="0" borderId="8" applyNumberFormat="0" applyFill="0" applyAlignment="0" applyProtection="0"/>
    <xf numFmtId="0" fontId="95" fillId="0" borderId="9" applyNumberFormat="0" applyFill="0" applyAlignment="0" applyProtection="0"/>
  </cellStyleXfs>
  <cellXfs count="277">
    <xf numFmtId="0" fontId="0" fillId="0" borderId="0" xfId="0" applyAlignment="1">
      <alignment/>
    </xf>
    <xf numFmtId="0" fontId="2" fillId="0" borderId="0" xfId="0" applyFont="1" applyAlignment="1">
      <alignment horizontal="center"/>
    </xf>
    <xf numFmtId="0" fontId="0" fillId="0" borderId="10" xfId="0" applyBorder="1" applyAlignment="1">
      <alignment/>
    </xf>
    <xf numFmtId="0" fontId="0" fillId="0" borderId="11" xfId="0" applyBorder="1" applyAlignment="1">
      <alignment/>
    </xf>
    <xf numFmtId="199" fontId="0" fillId="0" borderId="0" xfId="0" applyNumberFormat="1" applyAlignment="1">
      <alignment/>
    </xf>
    <xf numFmtId="193" fontId="0" fillId="0" borderId="10" xfId="49" applyNumberFormat="1" applyFont="1" applyBorder="1" applyAlignment="1">
      <alignment/>
    </xf>
    <xf numFmtId="193" fontId="0" fillId="0" borderId="11" xfId="49" applyNumberFormat="1" applyFont="1" applyBorder="1" applyAlignment="1">
      <alignment/>
    </xf>
    <xf numFmtId="193" fontId="0" fillId="0" borderId="12" xfId="49" applyNumberFormat="1" applyFont="1" applyBorder="1" applyAlignment="1">
      <alignment/>
    </xf>
    <xf numFmtId="194" fontId="0" fillId="0" borderId="0" xfId="49" applyNumberFormat="1" applyFont="1" applyAlignment="1">
      <alignment/>
    </xf>
    <xf numFmtId="193" fontId="0" fillId="0" borderId="0" xfId="49" applyFont="1" applyAlignment="1">
      <alignment/>
    </xf>
    <xf numFmtId="201" fontId="0" fillId="0" borderId="0" xfId="51" applyNumberFormat="1" applyFont="1" applyAlignment="1">
      <alignment/>
    </xf>
    <xf numFmtId="193" fontId="0" fillId="0" borderId="0" xfId="0" applyNumberFormat="1" applyAlignment="1">
      <alignment/>
    </xf>
    <xf numFmtId="202" fontId="0" fillId="0" borderId="0" xfId="55" applyNumberFormat="1" applyFont="1" applyAlignment="1">
      <alignment/>
    </xf>
    <xf numFmtId="0" fontId="0" fillId="33" borderId="0" xfId="0" applyFill="1" applyAlignment="1">
      <alignment/>
    </xf>
    <xf numFmtId="0" fontId="0" fillId="0" borderId="0" xfId="0" applyFill="1" applyAlignment="1">
      <alignment horizontal="right"/>
    </xf>
    <xf numFmtId="0" fontId="4" fillId="33" borderId="13"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0" fillId="0" borderId="0" xfId="0" applyFont="1" applyAlignment="1">
      <alignment horizontal="left"/>
    </xf>
    <xf numFmtId="195" fontId="0" fillId="33" borderId="0" xfId="49" applyNumberFormat="1" applyFont="1" applyFill="1" applyAlignment="1">
      <alignment/>
    </xf>
    <xf numFmtId="0" fontId="3" fillId="34" borderId="15" xfId="0" applyFont="1" applyFill="1" applyBorder="1" applyAlignment="1">
      <alignment horizontal="center" vertical="top" wrapText="1"/>
    </xf>
    <xf numFmtId="0" fontId="3" fillId="34" borderId="16" xfId="0" applyFont="1" applyFill="1" applyBorder="1" applyAlignment="1">
      <alignment horizontal="center" vertical="top" wrapText="1"/>
    </xf>
    <xf numFmtId="9" fontId="3" fillId="34" borderId="16" xfId="0" applyNumberFormat="1" applyFont="1" applyFill="1" applyBorder="1" applyAlignment="1">
      <alignment horizontal="center" vertical="top" wrapText="1"/>
    </xf>
    <xf numFmtId="0" fontId="3" fillId="34" borderId="17" xfId="0" applyFont="1" applyFill="1" applyBorder="1" applyAlignment="1">
      <alignment horizontal="center" vertical="top" wrapText="1"/>
    </xf>
    <xf numFmtId="0" fontId="3" fillId="34" borderId="18" xfId="0" applyFont="1" applyFill="1" applyBorder="1" applyAlignment="1">
      <alignment horizontal="center" vertical="top" wrapText="1"/>
    </xf>
    <xf numFmtId="9" fontId="3" fillId="34" borderId="18" xfId="0" applyNumberFormat="1"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4" xfId="0" applyFont="1" applyFill="1" applyBorder="1" applyAlignment="1">
      <alignment horizontal="center" vertical="top" wrapText="1"/>
    </xf>
    <xf numFmtId="9" fontId="3" fillId="34" borderId="14" xfId="0" applyNumberFormat="1" applyFont="1" applyFill="1" applyBorder="1" applyAlignment="1">
      <alignment horizontal="center" vertical="top" wrapText="1"/>
    </xf>
    <xf numFmtId="0" fontId="11" fillId="0" borderId="0" xfId="0" applyFont="1" applyFill="1" applyBorder="1" applyAlignment="1">
      <alignment horizontal="center"/>
    </xf>
    <xf numFmtId="0" fontId="0" fillId="33" borderId="0" xfId="0" applyFill="1" applyBorder="1" applyAlignment="1">
      <alignment/>
    </xf>
    <xf numFmtId="0" fontId="0" fillId="0" borderId="19" xfId="0" applyBorder="1" applyAlignment="1">
      <alignment/>
    </xf>
    <xf numFmtId="0" fontId="0" fillId="0" borderId="20" xfId="0" applyBorder="1" applyAlignment="1">
      <alignment/>
    </xf>
    <xf numFmtId="193" fontId="13" fillId="34" borderId="21" xfId="49" applyFont="1" applyFill="1" applyBorder="1" applyAlignment="1">
      <alignment horizontal="center" vertical="top" wrapText="1"/>
    </xf>
    <xf numFmtId="201" fontId="16" fillId="0" borderId="0" xfId="51" applyNumberFormat="1" applyFont="1" applyAlignment="1">
      <alignment/>
    </xf>
    <xf numFmtId="0" fontId="0" fillId="35" borderId="0" xfId="0" applyFill="1" applyAlignment="1">
      <alignment/>
    </xf>
    <xf numFmtId="0" fontId="17" fillId="35" borderId="0" xfId="0" applyFont="1" applyFill="1" applyAlignment="1">
      <alignment/>
    </xf>
    <xf numFmtId="0" fontId="18" fillId="35" borderId="0" xfId="0" applyFont="1" applyFill="1" applyAlignment="1">
      <alignment/>
    </xf>
    <xf numFmtId="0" fontId="15" fillId="35" borderId="0" xfId="0" applyFont="1" applyFill="1" applyAlignment="1">
      <alignment/>
    </xf>
    <xf numFmtId="0" fontId="19" fillId="35" borderId="0" xfId="0" applyFont="1" applyFill="1" applyAlignment="1">
      <alignment horizontal="justify"/>
    </xf>
    <xf numFmtId="0" fontId="96" fillId="35" borderId="0" xfId="0" applyFont="1" applyFill="1" applyAlignment="1">
      <alignment horizontal="justify"/>
    </xf>
    <xf numFmtId="0" fontId="18" fillId="35" borderId="0" xfId="0" applyFont="1" applyFill="1" applyAlignment="1">
      <alignment horizontal="justify"/>
    </xf>
    <xf numFmtId="0" fontId="10" fillId="35" borderId="0" xfId="0" applyFont="1" applyFill="1" applyAlignment="1">
      <alignment horizontal="justify"/>
    </xf>
    <xf numFmtId="0" fontId="0" fillId="0" borderId="0" xfId="0" applyBorder="1" applyAlignment="1">
      <alignment/>
    </xf>
    <xf numFmtId="0" fontId="0" fillId="35" borderId="0" xfId="0" applyFill="1" applyBorder="1" applyAlignment="1">
      <alignment/>
    </xf>
    <xf numFmtId="0" fontId="97" fillId="36" borderId="0" xfId="0" applyFont="1" applyFill="1" applyAlignment="1">
      <alignment horizontal="center"/>
    </xf>
    <xf numFmtId="0" fontId="0" fillId="0" borderId="0" xfId="0" applyFont="1" applyAlignment="1">
      <alignment/>
    </xf>
    <xf numFmtId="0" fontId="2" fillId="0" borderId="0" xfId="0" applyFont="1" applyAlignment="1">
      <alignment/>
    </xf>
    <xf numFmtId="193" fontId="2" fillId="0" borderId="0" xfId="49" applyFont="1" applyAlignment="1">
      <alignment/>
    </xf>
    <xf numFmtId="10" fontId="22" fillId="37" borderId="0" xfId="55" applyNumberFormat="1" applyFont="1" applyFill="1" applyBorder="1" applyAlignment="1" applyProtection="1">
      <alignment/>
      <protection locked="0"/>
    </xf>
    <xf numFmtId="210" fontId="22" fillId="37" borderId="0" xfId="0" applyNumberFormat="1" applyFont="1" applyFill="1" applyBorder="1" applyAlignment="1" applyProtection="1">
      <alignment/>
      <protection locked="0"/>
    </xf>
    <xf numFmtId="10" fontId="98" fillId="37" borderId="0" xfId="46" applyNumberFormat="1" applyFont="1" applyFill="1" applyBorder="1" applyAlignment="1" applyProtection="1">
      <alignment/>
      <protection locked="0"/>
    </xf>
    <xf numFmtId="195" fontId="0" fillId="0" borderId="0" xfId="49" applyNumberFormat="1" applyFont="1" applyAlignment="1">
      <alignment/>
    </xf>
    <xf numFmtId="195" fontId="99" fillId="0" borderId="0" xfId="49" applyNumberFormat="1" applyFont="1" applyAlignment="1">
      <alignment/>
    </xf>
    <xf numFmtId="195" fontId="23" fillId="33" borderId="0" xfId="49" applyNumberFormat="1" applyFont="1" applyFill="1" applyAlignment="1">
      <alignment horizontal="left"/>
    </xf>
    <xf numFmtId="0" fontId="27" fillId="33" borderId="0" xfId="0" applyFont="1" applyFill="1" applyAlignment="1">
      <alignment/>
    </xf>
    <xf numFmtId="0" fontId="28" fillId="33" borderId="0" xfId="0" applyFont="1" applyFill="1" applyAlignment="1">
      <alignment/>
    </xf>
    <xf numFmtId="195" fontId="100" fillId="0" borderId="0" xfId="49" applyNumberFormat="1" applyFont="1" applyAlignment="1">
      <alignment/>
    </xf>
    <xf numFmtId="195" fontId="101" fillId="35" borderId="0" xfId="49" applyNumberFormat="1" applyFont="1" applyFill="1" applyBorder="1" applyAlignment="1">
      <alignment horizontal="center" vertical="center"/>
    </xf>
    <xf numFmtId="195" fontId="100" fillId="35" borderId="0" xfId="49" applyNumberFormat="1" applyFont="1" applyFill="1" applyBorder="1" applyAlignment="1" applyProtection="1">
      <alignment/>
      <protection locked="0"/>
    </xf>
    <xf numFmtId="195" fontId="0" fillId="0" borderId="12" xfId="49" applyNumberFormat="1" applyFont="1" applyBorder="1" applyAlignment="1" applyProtection="1">
      <alignment horizontal="center"/>
      <protection locked="0"/>
    </xf>
    <xf numFmtId="195" fontId="9" fillId="0" borderId="0" xfId="49" applyNumberFormat="1" applyFont="1" applyFill="1" applyAlignment="1">
      <alignment/>
    </xf>
    <xf numFmtId="195" fontId="99" fillId="0" borderId="0" xfId="49" applyNumberFormat="1" applyFont="1" applyFill="1" applyAlignment="1">
      <alignment/>
    </xf>
    <xf numFmtId="14" fontId="0" fillId="0" borderId="0" xfId="0" applyNumberFormat="1" applyFont="1" applyAlignment="1">
      <alignment/>
    </xf>
    <xf numFmtId="195" fontId="0" fillId="0" borderId="18" xfId="49" applyNumberFormat="1" applyFont="1" applyBorder="1" applyAlignment="1" applyProtection="1">
      <alignment horizontal="center"/>
      <protection locked="0"/>
    </xf>
    <xf numFmtId="195" fontId="0" fillId="0" borderId="18" xfId="49" applyNumberFormat="1" applyFont="1" applyBorder="1" applyAlignment="1" applyProtection="1">
      <alignment/>
      <protection locked="0"/>
    </xf>
    <xf numFmtId="0" fontId="102" fillId="0" borderId="0" xfId="0" applyFont="1" applyAlignment="1" applyProtection="1">
      <alignment/>
      <protection hidden="1"/>
    </xf>
    <xf numFmtId="0" fontId="31" fillId="33" borderId="22" xfId="0" applyFont="1" applyFill="1" applyBorder="1" applyAlignment="1">
      <alignment horizontal="left"/>
    </xf>
    <xf numFmtId="0" fontId="31" fillId="33" borderId="23" xfId="0" applyFont="1" applyFill="1" applyBorder="1" applyAlignment="1">
      <alignment horizontal="center"/>
    </xf>
    <xf numFmtId="0" fontId="31" fillId="33" borderId="24" xfId="0" applyFont="1" applyFill="1" applyBorder="1" applyAlignment="1">
      <alignment horizontal="center"/>
    </xf>
    <xf numFmtId="195" fontId="31" fillId="33" borderId="24" xfId="49" applyNumberFormat="1" applyFont="1" applyFill="1" applyBorder="1" applyAlignment="1">
      <alignment horizontal="center"/>
    </xf>
    <xf numFmtId="195" fontId="31" fillId="33" borderId="25" xfId="49" applyNumberFormat="1" applyFont="1" applyFill="1" applyBorder="1" applyAlignment="1">
      <alignment horizontal="center"/>
    </xf>
    <xf numFmtId="195" fontId="2" fillId="0" borderId="0" xfId="49" applyNumberFormat="1" applyFont="1" applyAlignment="1">
      <alignment horizontal="center"/>
    </xf>
    <xf numFmtId="195" fontId="103" fillId="0" borderId="0" xfId="49" applyNumberFormat="1" applyFont="1" applyAlignment="1">
      <alignment horizontal="center"/>
    </xf>
    <xf numFmtId="0" fontId="32" fillId="33" borderId="12" xfId="0" applyFont="1" applyFill="1" applyBorder="1" applyAlignment="1">
      <alignment horizontal="center" vertical="center"/>
    </xf>
    <xf numFmtId="0" fontId="11" fillId="0" borderId="0" xfId="0" applyFont="1" applyFill="1" applyAlignment="1">
      <alignment horizontal="center"/>
    </xf>
    <xf numFmtId="0" fontId="0" fillId="38" borderId="18" xfId="0" applyFont="1" applyFill="1" applyBorder="1" applyAlignment="1">
      <alignment/>
    </xf>
    <xf numFmtId="195" fontId="33" fillId="0" borderId="18" xfId="49" applyNumberFormat="1" applyFont="1" applyBorder="1" applyAlignment="1">
      <alignment horizontal="center"/>
    </xf>
    <xf numFmtId="195" fontId="104" fillId="0" borderId="18" xfId="49" applyNumberFormat="1" applyFont="1" applyBorder="1" applyAlignment="1">
      <alignment horizontal="center"/>
    </xf>
    <xf numFmtId="195" fontId="0" fillId="38" borderId="18" xfId="49" applyNumberFormat="1" applyFont="1" applyFill="1" applyBorder="1" applyAlignment="1">
      <alignment/>
    </xf>
    <xf numFmtId="0" fontId="0" fillId="0" borderId="0" xfId="0" applyFont="1" applyAlignment="1">
      <alignment horizontal="center" vertical="center"/>
    </xf>
    <xf numFmtId="0" fontId="2" fillId="38" borderId="18" xfId="0" applyFont="1" applyFill="1" applyBorder="1" applyAlignment="1">
      <alignment horizontal="left"/>
    </xf>
    <xf numFmtId="195" fontId="2" fillId="38" borderId="18" xfId="49" applyNumberFormat="1" applyFont="1" applyFill="1" applyBorder="1" applyAlignment="1">
      <alignment/>
    </xf>
    <xf numFmtId="195" fontId="34" fillId="38" borderId="18" xfId="49" applyNumberFormat="1" applyFont="1" applyFill="1" applyBorder="1" applyAlignment="1">
      <alignment horizontal="center"/>
    </xf>
    <xf numFmtId="195" fontId="105" fillId="38" borderId="18" xfId="49" applyNumberFormat="1" applyFont="1" applyFill="1" applyBorder="1" applyAlignment="1">
      <alignment horizontal="center"/>
    </xf>
    <xf numFmtId="195" fontId="33" fillId="0" borderId="0" xfId="49" applyNumberFormat="1" applyFont="1" applyAlignment="1">
      <alignment horizontal="center"/>
    </xf>
    <xf numFmtId="195" fontId="104" fillId="0" borderId="0" xfId="49" applyNumberFormat="1" applyFont="1" applyAlignment="1">
      <alignment horizontal="center"/>
    </xf>
    <xf numFmtId="0" fontId="5" fillId="33" borderId="26" xfId="0" applyFont="1" applyFill="1" applyBorder="1" applyAlignment="1">
      <alignment horizontal="left"/>
    </xf>
    <xf numFmtId="0" fontId="5" fillId="33" borderId="27" xfId="0" applyFont="1" applyFill="1" applyBorder="1" applyAlignment="1">
      <alignment horizontal="left"/>
    </xf>
    <xf numFmtId="0" fontId="5" fillId="33" borderId="28" xfId="0" applyFont="1" applyFill="1" applyBorder="1" applyAlignment="1">
      <alignment horizontal="left"/>
    </xf>
    <xf numFmtId="0" fontId="103" fillId="33" borderId="28" xfId="0" applyFont="1" applyFill="1" applyBorder="1" applyAlignment="1">
      <alignment horizontal="left"/>
    </xf>
    <xf numFmtId="195" fontId="5" fillId="33" borderId="18" xfId="49" applyNumberFormat="1" applyFont="1" applyFill="1" applyBorder="1" applyAlignment="1">
      <alignment/>
    </xf>
    <xf numFmtId="0" fontId="0" fillId="0" borderId="0" xfId="0" applyFont="1" applyFill="1" applyAlignment="1">
      <alignment horizontal="center" vertical="center"/>
    </xf>
    <xf numFmtId="0" fontId="0" fillId="0" borderId="0" xfId="0" applyFont="1" applyFill="1" applyAlignment="1">
      <alignment/>
    </xf>
    <xf numFmtId="0" fontId="2" fillId="0" borderId="0" xfId="0" applyFont="1" applyFill="1" applyBorder="1" applyAlignment="1">
      <alignment horizontal="left"/>
    </xf>
    <xf numFmtId="0" fontId="103" fillId="0" borderId="0" xfId="0" applyFont="1" applyFill="1" applyBorder="1" applyAlignment="1">
      <alignment horizontal="left"/>
    </xf>
    <xf numFmtId="195" fontId="2" fillId="0" borderId="0" xfId="49" applyNumberFormat="1" applyFont="1" applyFill="1" applyBorder="1" applyAlignment="1">
      <alignment/>
    </xf>
    <xf numFmtId="195" fontId="0" fillId="0" borderId="0" xfId="49" applyNumberFormat="1" applyFont="1" applyFill="1" applyAlignment="1">
      <alignment/>
    </xf>
    <xf numFmtId="0" fontId="35" fillId="0" borderId="0" xfId="0" applyFont="1" applyAlignment="1">
      <alignment/>
    </xf>
    <xf numFmtId="0" fontId="32" fillId="0" borderId="0" xfId="0" applyFont="1" applyFill="1" applyBorder="1" applyAlignment="1">
      <alignment horizontal="center" vertical="center"/>
    </xf>
    <xf numFmtId="195" fontId="106" fillId="0" borderId="29" xfId="49" applyNumberFormat="1" applyFont="1" applyBorder="1" applyAlignment="1">
      <alignment horizontal="center" vertical="center" wrapText="1"/>
    </xf>
    <xf numFmtId="195" fontId="0" fillId="39" borderId="18" xfId="49" applyNumberFormat="1" applyFont="1" applyFill="1" applyBorder="1" applyAlignment="1" applyProtection="1">
      <alignment/>
      <protection/>
    </xf>
    <xf numFmtId="195" fontId="106" fillId="0" borderId="30" xfId="49" applyNumberFormat="1" applyFont="1" applyBorder="1" applyAlignment="1">
      <alignment horizontal="center" vertical="center" wrapText="1"/>
    </xf>
    <xf numFmtId="193" fontId="0" fillId="0" borderId="0" xfId="49" applyNumberFormat="1" applyFont="1" applyAlignment="1">
      <alignment/>
    </xf>
    <xf numFmtId="195" fontId="1" fillId="0" borderId="18" xfId="49" applyNumberFormat="1" applyFont="1" applyBorder="1" applyAlignment="1">
      <alignment horizontal="center" vertical="center" wrapText="1"/>
    </xf>
    <xf numFmtId="195" fontId="106" fillId="0" borderId="18" xfId="49" applyNumberFormat="1" applyFont="1" applyBorder="1" applyAlignment="1">
      <alignment horizontal="center" vertical="center" wrapText="1"/>
    </xf>
    <xf numFmtId="195" fontId="0" fillId="38" borderId="18" xfId="49" applyNumberFormat="1" applyFont="1" applyFill="1" applyBorder="1" applyAlignment="1">
      <alignment horizontal="center" vertical="center"/>
    </xf>
    <xf numFmtId="193" fontId="0" fillId="0" borderId="0" xfId="49" applyFont="1" applyAlignment="1">
      <alignment/>
    </xf>
    <xf numFmtId="0" fontId="2" fillId="38" borderId="18" xfId="0" applyFont="1" applyFill="1" applyBorder="1" applyAlignment="1">
      <alignment/>
    </xf>
    <xf numFmtId="195" fontId="1" fillId="0" borderId="18" xfId="49" applyNumberFormat="1" applyFont="1" applyBorder="1" applyAlignment="1">
      <alignment/>
    </xf>
    <xf numFmtId="195" fontId="106" fillId="0" borderId="18" xfId="49" applyNumberFormat="1" applyFont="1" applyBorder="1" applyAlignment="1">
      <alignment/>
    </xf>
    <xf numFmtId="195" fontId="6" fillId="0" borderId="0" xfId="49" applyNumberFormat="1" applyFont="1" applyAlignment="1">
      <alignment/>
    </xf>
    <xf numFmtId="195" fontId="1" fillId="0" borderId="18" xfId="49" applyNumberFormat="1" applyFont="1" applyFill="1" applyBorder="1" applyAlignment="1">
      <alignment horizontal="center" vertical="center" wrapText="1"/>
    </xf>
    <xf numFmtId="195" fontId="106" fillId="0" borderId="18" xfId="49" applyNumberFormat="1" applyFont="1" applyFill="1" applyBorder="1" applyAlignment="1">
      <alignment horizontal="center" vertical="center" wrapText="1"/>
    </xf>
    <xf numFmtId="0" fontId="103" fillId="33" borderId="27" xfId="0" applyFont="1" applyFill="1" applyBorder="1" applyAlignment="1">
      <alignment horizontal="left"/>
    </xf>
    <xf numFmtId="195" fontId="5" fillId="33" borderId="28" xfId="49" applyNumberFormat="1" applyFont="1" applyFill="1" applyBorder="1" applyAlignment="1">
      <alignment/>
    </xf>
    <xf numFmtId="0" fontId="5" fillId="33" borderId="0" xfId="0" applyFont="1" applyFill="1" applyBorder="1" applyAlignment="1">
      <alignment horizontal="left"/>
    </xf>
    <xf numFmtId="0" fontId="103" fillId="33" borderId="0" xfId="0" applyFont="1" applyFill="1" applyBorder="1" applyAlignment="1">
      <alignment horizontal="left"/>
    </xf>
    <xf numFmtId="0" fontId="107" fillId="33" borderId="26" xfId="0" applyFont="1" applyFill="1" applyBorder="1" applyAlignment="1">
      <alignment horizontal="left"/>
    </xf>
    <xf numFmtId="0" fontId="30" fillId="33" borderId="28" xfId="0" applyFont="1" applyFill="1" applyBorder="1" applyAlignment="1">
      <alignment horizontal="left"/>
    </xf>
    <xf numFmtId="195" fontId="9" fillId="33" borderId="18" xfId="49" applyNumberFormat="1" applyFont="1" applyFill="1" applyBorder="1" applyAlignment="1">
      <alignment horizontal="center"/>
    </xf>
    <xf numFmtId="195" fontId="108" fillId="33" borderId="18" xfId="49" applyNumberFormat="1" applyFont="1" applyFill="1" applyBorder="1" applyAlignment="1">
      <alignment horizontal="center"/>
    </xf>
    <xf numFmtId="195" fontId="30" fillId="33" borderId="18" xfId="49" applyNumberFormat="1" applyFont="1" applyFill="1" applyBorder="1" applyAlignment="1">
      <alignment/>
    </xf>
    <xf numFmtId="195" fontId="5" fillId="33" borderId="18" xfId="49" applyNumberFormat="1" applyFont="1" applyFill="1" applyBorder="1" applyAlignment="1" applyProtection="1">
      <alignment/>
      <protection hidden="1"/>
    </xf>
    <xf numFmtId="194" fontId="0" fillId="0" borderId="0" xfId="49" applyNumberFormat="1" applyFont="1" applyAlignment="1">
      <alignment/>
    </xf>
    <xf numFmtId="194" fontId="0" fillId="0" borderId="0" xfId="49" applyNumberFormat="1" applyFont="1" applyFill="1" applyAlignment="1">
      <alignment/>
    </xf>
    <xf numFmtId="0" fontId="36" fillId="33" borderId="31" xfId="0" applyFont="1" applyFill="1" applyBorder="1" applyAlignment="1">
      <alignment horizontal="left"/>
    </xf>
    <xf numFmtId="195" fontId="37" fillId="0" borderId="0" xfId="49" applyNumberFormat="1" applyFont="1" applyFill="1" applyBorder="1" applyAlignment="1">
      <alignment/>
    </xf>
    <xf numFmtId="195" fontId="102" fillId="0" borderId="0" xfId="49" applyNumberFormat="1" applyFont="1" applyFill="1" applyBorder="1" applyAlignment="1">
      <alignment/>
    </xf>
    <xf numFmtId="201" fontId="38" fillId="33" borderId="18" xfId="51" applyNumberFormat="1" applyFont="1" applyFill="1" applyBorder="1" applyAlignment="1">
      <alignment/>
    </xf>
    <xf numFmtId="0" fontId="36" fillId="33" borderId="28" xfId="0" applyFont="1" applyFill="1" applyBorder="1" applyAlignment="1">
      <alignment horizontal="left"/>
    </xf>
    <xf numFmtId="14" fontId="99" fillId="0" borderId="0" xfId="0" applyNumberFormat="1" applyFont="1" applyAlignment="1" applyProtection="1">
      <alignment/>
      <protection hidden="1"/>
    </xf>
    <xf numFmtId="0" fontId="36" fillId="33" borderId="32" xfId="0" applyFont="1" applyFill="1" applyBorder="1" applyAlignment="1">
      <alignment horizontal="left"/>
    </xf>
    <xf numFmtId="0" fontId="39" fillId="0" borderId="0" xfId="0" applyFont="1" applyAlignment="1" applyProtection="1">
      <alignment/>
      <protection hidden="1"/>
    </xf>
    <xf numFmtId="0" fontId="36" fillId="0" borderId="0" xfId="0" applyFont="1" applyFill="1" applyBorder="1" applyAlignment="1">
      <alignment horizontal="left"/>
    </xf>
    <xf numFmtId="201" fontId="38" fillId="0" borderId="0" xfId="51" applyNumberFormat="1" applyFont="1" applyFill="1" applyBorder="1" applyAlignment="1">
      <alignment/>
    </xf>
    <xf numFmtId="0" fontId="99" fillId="0" borderId="0" xfId="0" applyFont="1" applyAlignment="1">
      <alignment/>
    </xf>
    <xf numFmtId="0" fontId="6" fillId="0" borderId="0" xfId="0" applyFont="1" applyAlignment="1">
      <alignment/>
    </xf>
    <xf numFmtId="0" fontId="100" fillId="35" borderId="0" xfId="0" applyFont="1" applyFill="1" applyAlignment="1" applyProtection="1">
      <alignment/>
      <protection hidden="1"/>
    </xf>
    <xf numFmtId="14" fontId="100" fillId="35" borderId="0" xfId="0" applyNumberFormat="1" applyFont="1" applyFill="1" applyAlignment="1" applyProtection="1">
      <alignment/>
      <protection hidden="1"/>
    </xf>
    <xf numFmtId="0" fontId="100" fillId="0" borderId="0" xfId="0" applyFont="1" applyAlignment="1">
      <alignment/>
    </xf>
    <xf numFmtId="0" fontId="103" fillId="0" borderId="0" xfId="0" applyFont="1" applyAlignment="1">
      <alignment/>
    </xf>
    <xf numFmtId="0" fontId="0" fillId="39" borderId="18" xfId="0" applyFont="1" applyFill="1" applyBorder="1" applyAlignment="1">
      <alignment/>
    </xf>
    <xf numFmtId="0" fontId="107" fillId="33" borderId="33" xfId="0" applyFont="1" applyFill="1" applyBorder="1" applyAlignment="1">
      <alignment horizontal="left"/>
    </xf>
    <xf numFmtId="0" fontId="107" fillId="33" borderId="34" xfId="0" applyFont="1" applyFill="1" applyBorder="1" applyAlignment="1">
      <alignment horizontal="left"/>
    </xf>
    <xf numFmtId="0" fontId="103" fillId="0" borderId="0" xfId="0" applyFont="1" applyAlignment="1">
      <alignment horizontal="left"/>
    </xf>
    <xf numFmtId="0" fontId="0" fillId="0" borderId="0" xfId="0" applyFont="1" applyFill="1" applyAlignment="1" applyProtection="1">
      <alignment/>
      <protection/>
    </xf>
    <xf numFmtId="195" fontId="0" fillId="0" borderId="0" xfId="49" applyNumberFormat="1" applyFont="1" applyFill="1" applyAlignment="1" applyProtection="1">
      <alignment/>
      <protection/>
    </xf>
    <xf numFmtId="195" fontId="11" fillId="0" borderId="0" xfId="49" applyNumberFormat="1" applyFont="1" applyFill="1" applyAlignment="1" applyProtection="1">
      <alignment horizontal="left"/>
      <protection/>
    </xf>
    <xf numFmtId="195" fontId="40" fillId="0" borderId="0" xfId="49" applyNumberFormat="1" applyFont="1" applyFill="1" applyAlignment="1" applyProtection="1">
      <alignment horizontal="left"/>
      <protection/>
    </xf>
    <xf numFmtId="195" fontId="41" fillId="0" borderId="0" xfId="49" applyNumberFormat="1" applyFont="1" applyFill="1" applyAlignment="1" applyProtection="1">
      <alignment horizontal="right"/>
      <protection/>
    </xf>
    <xf numFmtId="0" fontId="0" fillId="0" borderId="0" xfId="0" applyFont="1" applyFill="1" applyAlignment="1" applyProtection="1">
      <alignment horizontal="left"/>
      <protection/>
    </xf>
    <xf numFmtId="0" fontId="40" fillId="0" borderId="0" xfId="0" applyFont="1" applyFill="1" applyAlignment="1" applyProtection="1">
      <alignment/>
      <protection/>
    </xf>
    <xf numFmtId="0" fontId="11" fillId="0" borderId="0" xfId="0" applyFont="1" applyFill="1" applyAlignment="1" applyProtection="1">
      <alignment/>
      <protection/>
    </xf>
    <xf numFmtId="195" fontId="42" fillId="0" borderId="0" xfId="49" applyNumberFormat="1" applyFont="1" applyFill="1" applyBorder="1" applyAlignment="1" applyProtection="1">
      <alignment horizontal="center" vertical="center"/>
      <protection/>
    </xf>
    <xf numFmtId="195" fontId="0" fillId="0" borderId="0" xfId="49" applyNumberFormat="1" applyFont="1" applyFill="1" applyBorder="1" applyAlignment="1" applyProtection="1">
      <alignment/>
      <protection/>
    </xf>
    <xf numFmtId="0" fontId="2" fillId="0" borderId="18" xfId="0" applyFont="1" applyFill="1" applyBorder="1" applyAlignment="1" applyProtection="1">
      <alignment horizontal="center"/>
      <protection/>
    </xf>
    <xf numFmtId="195" fontId="2" fillId="0" borderId="18" xfId="49" applyNumberFormat="1" applyFont="1" applyFill="1" applyBorder="1" applyAlignment="1" applyProtection="1">
      <alignment horizontal="center"/>
      <protection/>
    </xf>
    <xf numFmtId="195" fontId="0" fillId="0" borderId="18" xfId="49" applyNumberFormat="1" applyFont="1" applyFill="1" applyBorder="1" applyAlignment="1" applyProtection="1">
      <alignment horizontal="center"/>
      <protection/>
    </xf>
    <xf numFmtId="195" fontId="2" fillId="0" borderId="28" xfId="49" applyNumberFormat="1" applyFont="1" applyFill="1" applyBorder="1" applyAlignment="1" applyProtection="1">
      <alignment horizontal="center"/>
      <protection/>
    </xf>
    <xf numFmtId="0" fontId="0" fillId="0" borderId="0" xfId="0" applyFont="1" applyFill="1" applyAlignment="1" applyProtection="1">
      <alignment horizontal="center"/>
      <protection/>
    </xf>
    <xf numFmtId="195" fontId="2" fillId="0" borderId="18" xfId="49" applyNumberFormat="1" applyFont="1" applyFill="1" applyBorder="1" applyAlignment="1" applyProtection="1">
      <alignment horizontal="left" vertical="center"/>
      <protection/>
    </xf>
    <xf numFmtId="0" fontId="37" fillId="0" borderId="0" xfId="0" applyFont="1" applyFill="1" applyAlignment="1" applyProtection="1">
      <alignment/>
      <protection/>
    </xf>
    <xf numFmtId="0" fontId="11" fillId="0" borderId="12" xfId="0" applyFont="1" applyFill="1" applyBorder="1" applyAlignment="1" applyProtection="1">
      <alignment horizontal="center" vertical="center"/>
      <protection/>
    </xf>
    <xf numFmtId="0" fontId="11" fillId="0" borderId="0" xfId="0" applyFont="1" applyFill="1" applyAlignment="1" applyProtection="1">
      <alignment horizontal="center"/>
      <protection/>
    </xf>
    <xf numFmtId="0" fontId="2" fillId="0" borderId="0" xfId="0" applyFont="1" applyFill="1" applyAlignment="1" applyProtection="1">
      <alignment horizontal="left"/>
      <protection/>
    </xf>
    <xf numFmtId="0" fontId="0" fillId="0" borderId="18" xfId="0" applyFont="1" applyFill="1" applyBorder="1" applyAlignment="1" applyProtection="1">
      <alignment/>
      <protection/>
    </xf>
    <xf numFmtId="195" fontId="0" fillId="0" borderId="18" xfId="49" applyNumberFormat="1" applyFont="1" applyFill="1" applyBorder="1" applyAlignment="1" applyProtection="1">
      <alignment/>
      <protection/>
    </xf>
    <xf numFmtId="0" fontId="0" fillId="0" borderId="0" xfId="0" applyFont="1" applyFill="1" applyAlignment="1" applyProtection="1">
      <alignment horizontal="center" vertical="center"/>
      <protection/>
    </xf>
    <xf numFmtId="0" fontId="2" fillId="0" borderId="18" xfId="0" applyFont="1" applyFill="1" applyBorder="1" applyAlignment="1" applyProtection="1">
      <alignment/>
      <protection/>
    </xf>
    <xf numFmtId="195" fontId="2" fillId="0" borderId="18" xfId="49" applyNumberFormat="1" applyFont="1" applyFill="1" applyBorder="1" applyAlignment="1" applyProtection="1">
      <alignment/>
      <protection/>
    </xf>
    <xf numFmtId="0" fontId="2" fillId="0" borderId="26" xfId="0" applyFont="1" applyFill="1" applyBorder="1" applyAlignment="1" applyProtection="1">
      <alignment horizontal="left"/>
      <protection/>
    </xf>
    <xf numFmtId="0" fontId="2" fillId="0" borderId="27" xfId="0" applyFont="1" applyFill="1" applyBorder="1" applyAlignment="1" applyProtection="1">
      <alignment horizontal="left"/>
      <protection/>
    </xf>
    <xf numFmtId="0" fontId="2" fillId="0" borderId="0" xfId="0" applyFont="1" applyFill="1" applyBorder="1" applyAlignment="1" applyProtection="1">
      <alignment horizontal="left"/>
      <protection/>
    </xf>
    <xf numFmtId="195" fontId="2" fillId="0" borderId="0" xfId="49" applyNumberFormat="1" applyFont="1" applyFill="1" applyBorder="1" applyAlignment="1" applyProtection="1">
      <alignment/>
      <protection/>
    </xf>
    <xf numFmtId="0" fontId="2" fillId="0" borderId="0" xfId="0" applyFont="1" applyFill="1" applyAlignment="1" applyProtection="1">
      <alignment/>
      <protection/>
    </xf>
    <xf numFmtId="0" fontId="11" fillId="0" borderId="0" xfId="0" applyFont="1" applyFill="1" applyBorder="1" applyAlignment="1" applyProtection="1">
      <alignment horizontal="center" vertical="center"/>
      <protection/>
    </xf>
    <xf numFmtId="195" fontId="2" fillId="0" borderId="18" xfId="49" applyNumberFormat="1" applyFont="1" applyFill="1" applyBorder="1" applyAlignment="1" applyProtection="1">
      <alignment horizontal="center" vertical="center"/>
      <protection/>
    </xf>
    <xf numFmtId="0" fontId="2" fillId="0" borderId="28" xfId="0" applyFont="1" applyFill="1" applyBorder="1" applyAlignment="1" applyProtection="1">
      <alignment horizontal="left"/>
      <protection/>
    </xf>
    <xf numFmtId="0" fontId="43" fillId="0" borderId="18" xfId="0" applyFont="1" applyFill="1" applyBorder="1" applyAlignment="1" applyProtection="1">
      <alignment horizontal="left"/>
      <protection/>
    </xf>
    <xf numFmtId="201" fontId="2" fillId="0" borderId="18" xfId="51" applyNumberFormat="1" applyFont="1" applyFill="1" applyBorder="1" applyAlignment="1" applyProtection="1">
      <alignment/>
      <protection/>
    </xf>
    <xf numFmtId="0" fontId="44" fillId="0" borderId="0" xfId="0" applyFont="1" applyFill="1" applyAlignment="1" applyProtection="1">
      <alignment/>
      <protection/>
    </xf>
    <xf numFmtId="0" fontId="2" fillId="0" borderId="18" xfId="0" applyFont="1" applyFill="1" applyBorder="1" applyAlignment="1" applyProtection="1">
      <alignment horizontal="left"/>
      <protection/>
    </xf>
    <xf numFmtId="10" fontId="38" fillId="33" borderId="18" xfId="55" applyNumberFormat="1" applyFont="1" applyFill="1" applyBorder="1" applyAlignment="1">
      <alignment/>
    </xf>
    <xf numFmtId="10" fontId="2" fillId="0" borderId="0" xfId="55" applyNumberFormat="1" applyFont="1" applyFill="1" applyAlignment="1" applyProtection="1">
      <alignment/>
      <protection/>
    </xf>
    <xf numFmtId="193" fontId="2" fillId="0" borderId="0" xfId="0" applyNumberFormat="1" applyFont="1" applyAlignment="1">
      <alignment/>
    </xf>
    <xf numFmtId="0" fontId="0" fillId="40" borderId="18" xfId="0" applyFont="1" applyFill="1" applyBorder="1" applyAlignment="1" applyProtection="1">
      <alignment horizontal="center"/>
      <protection locked="0"/>
    </xf>
    <xf numFmtId="0" fontId="43" fillId="0" borderId="0" xfId="0" applyFont="1" applyFill="1" applyBorder="1" applyAlignment="1" applyProtection="1">
      <alignment horizontal="left"/>
      <protection/>
    </xf>
    <xf numFmtId="201" fontId="2" fillId="0" borderId="0" xfId="51" applyNumberFormat="1" applyFont="1" applyFill="1" applyBorder="1" applyAlignment="1" applyProtection="1">
      <alignment/>
      <protection/>
    </xf>
    <xf numFmtId="0" fontId="43" fillId="0" borderId="26" xfId="0" applyFont="1" applyFill="1" applyBorder="1" applyAlignment="1" applyProtection="1">
      <alignment horizontal="center"/>
      <protection/>
    </xf>
    <xf numFmtId="195" fontId="43" fillId="0" borderId="28" xfId="49" applyNumberFormat="1" applyFont="1" applyFill="1" applyBorder="1" applyAlignment="1" applyProtection="1">
      <alignment horizontal="center"/>
      <protection/>
    </xf>
    <xf numFmtId="195" fontId="43" fillId="0" borderId="18" xfId="49" applyNumberFormat="1" applyFont="1" applyFill="1" applyBorder="1" applyAlignment="1" applyProtection="1">
      <alignment horizontal="center"/>
      <protection/>
    </xf>
    <xf numFmtId="0" fontId="0" fillId="38" borderId="18" xfId="0" applyFont="1" applyFill="1" applyBorder="1" applyAlignment="1">
      <alignment wrapText="1"/>
    </xf>
    <xf numFmtId="193" fontId="43" fillId="0" borderId="0" xfId="49" applyFont="1" applyFill="1" applyAlignment="1" applyProtection="1">
      <alignment/>
      <protection hidden="1"/>
    </xf>
    <xf numFmtId="0" fontId="3" fillId="0" borderId="18" xfId="0" applyFont="1" applyBorder="1" applyAlignment="1" applyProtection="1">
      <alignment horizontal="center"/>
      <protection locked="0"/>
    </xf>
    <xf numFmtId="0" fontId="43" fillId="0" borderId="18" xfId="0" applyFont="1" applyBorder="1" applyAlignment="1" applyProtection="1">
      <alignment horizontal="center"/>
      <protection locked="0"/>
    </xf>
    <xf numFmtId="0" fontId="3" fillId="0" borderId="18" xfId="0" applyFont="1" applyFill="1" applyBorder="1" applyAlignment="1" applyProtection="1">
      <alignment horizontal="center"/>
      <protection/>
    </xf>
    <xf numFmtId="0" fontId="7" fillId="0" borderId="0" xfId="46" applyAlignment="1" applyProtection="1">
      <alignment/>
      <protection/>
    </xf>
    <xf numFmtId="0" fontId="7" fillId="35" borderId="0" xfId="46" applyFill="1" applyBorder="1" applyAlignment="1" applyProtection="1">
      <alignment horizontal="justify"/>
      <protection/>
    </xf>
    <xf numFmtId="195" fontId="1" fillId="0" borderId="0" xfId="49" applyNumberFormat="1" applyFont="1" applyBorder="1" applyAlignment="1">
      <alignment/>
    </xf>
    <xf numFmtId="195" fontId="106" fillId="0" borderId="0" xfId="49" applyNumberFormat="1" applyFont="1" applyBorder="1" applyAlignment="1">
      <alignment/>
    </xf>
    <xf numFmtId="195" fontId="99" fillId="0" borderId="18" xfId="49" applyNumberFormat="1" applyFont="1" applyBorder="1" applyAlignment="1">
      <alignment/>
    </xf>
    <xf numFmtId="0" fontId="2" fillId="0" borderId="0" xfId="0" applyFont="1" applyFill="1" applyBorder="1" applyAlignment="1" applyProtection="1">
      <alignment/>
      <protection/>
    </xf>
    <xf numFmtId="0" fontId="109" fillId="41" borderId="35" xfId="0" applyFont="1" applyFill="1" applyBorder="1" applyAlignment="1">
      <alignment horizontal="left" vertical="top" wrapText="1"/>
    </xf>
    <xf numFmtId="194" fontId="0" fillId="0" borderId="0" xfId="0" applyNumberFormat="1" applyAlignment="1">
      <alignment/>
    </xf>
    <xf numFmtId="191" fontId="0" fillId="0" borderId="0" xfId="50" applyFont="1" applyAlignment="1">
      <alignment/>
    </xf>
    <xf numFmtId="9" fontId="0" fillId="0" borderId="0" xfId="0" applyNumberFormat="1" applyAlignment="1">
      <alignment/>
    </xf>
    <xf numFmtId="212" fontId="0" fillId="0" borderId="0" xfId="50" applyNumberFormat="1" applyFont="1" applyAlignment="1">
      <alignment/>
    </xf>
    <xf numFmtId="213" fontId="0" fillId="0" borderId="0" xfId="0" applyNumberFormat="1" applyAlignment="1">
      <alignment/>
    </xf>
    <xf numFmtId="0" fontId="0" fillId="42" borderId="0" xfId="0" applyFont="1" applyFill="1" applyAlignment="1">
      <alignment/>
    </xf>
    <xf numFmtId="195" fontId="0" fillId="42" borderId="0" xfId="49" applyNumberFormat="1" applyFont="1" applyFill="1" applyAlignment="1">
      <alignment/>
    </xf>
    <xf numFmtId="195" fontId="99" fillId="42" borderId="0" xfId="49" applyNumberFormat="1" applyFont="1" applyFill="1" applyAlignment="1">
      <alignment/>
    </xf>
    <xf numFmtId="195" fontId="23" fillId="42" borderId="0" xfId="49" applyNumberFormat="1" applyFont="1" applyFill="1" applyAlignment="1">
      <alignment horizontal="left"/>
    </xf>
    <xf numFmtId="195" fontId="24" fillId="42" borderId="0" xfId="49" applyNumberFormat="1" applyFont="1" applyFill="1" applyAlignment="1">
      <alignment horizontal="right"/>
    </xf>
    <xf numFmtId="195" fontId="25" fillId="42" borderId="0" xfId="49" applyNumberFormat="1" applyFont="1" applyFill="1" applyAlignment="1">
      <alignment horizontal="left"/>
    </xf>
    <xf numFmtId="195" fontId="110" fillId="42" borderId="0" xfId="49" applyNumberFormat="1" applyFont="1" applyFill="1" applyAlignment="1">
      <alignment horizontal="left"/>
    </xf>
    <xf numFmtId="0" fontId="0" fillId="42" borderId="0" xfId="0" applyFont="1" applyFill="1" applyAlignment="1">
      <alignment horizontal="left"/>
    </xf>
    <xf numFmtId="0" fontId="99" fillId="42" borderId="0" xfId="0" applyFont="1" applyFill="1" applyAlignment="1">
      <alignment horizontal="left"/>
    </xf>
    <xf numFmtId="195" fontId="26" fillId="42" borderId="0" xfId="49" applyNumberFormat="1" applyFont="1" applyFill="1" applyAlignment="1">
      <alignment horizontal="right"/>
    </xf>
    <xf numFmtId="195" fontId="3" fillId="42" borderId="0" xfId="49" applyNumberFormat="1" applyFont="1" applyFill="1" applyAlignment="1">
      <alignment horizontal="center"/>
    </xf>
    <xf numFmtId="195" fontId="5" fillId="42" borderId="36" xfId="49" applyNumberFormat="1" applyFont="1" applyFill="1" applyBorder="1" applyAlignment="1" applyProtection="1">
      <alignment horizontal="center"/>
      <protection/>
    </xf>
    <xf numFmtId="195" fontId="30" fillId="42" borderId="28" xfId="49" applyNumberFormat="1" applyFont="1" applyFill="1" applyBorder="1" applyAlignment="1">
      <alignment horizontal="center"/>
    </xf>
    <xf numFmtId="195" fontId="5" fillId="42" borderId="18" xfId="49" applyNumberFormat="1" applyFont="1" applyFill="1" applyBorder="1" applyAlignment="1" applyProtection="1">
      <alignment horizontal="left" vertical="center"/>
      <protection/>
    </xf>
    <xf numFmtId="195" fontId="30" fillId="42" borderId="18" xfId="49" applyNumberFormat="1" applyFont="1" applyFill="1" applyBorder="1" applyAlignment="1">
      <alignment horizontal="center"/>
    </xf>
    <xf numFmtId="0" fontId="4" fillId="33" borderId="37" xfId="0" applyFont="1" applyFill="1" applyBorder="1" applyAlignment="1">
      <alignment horizontal="center" vertical="top" wrapText="1"/>
    </xf>
    <xf numFmtId="0" fontId="4" fillId="33" borderId="29" xfId="0" applyFont="1" applyFill="1" applyBorder="1" applyAlignment="1">
      <alignment horizontal="center" vertical="top" wrapText="1"/>
    </xf>
    <xf numFmtId="193" fontId="0" fillId="43" borderId="38" xfId="49" applyNumberFormat="1" applyFont="1" applyFill="1" applyBorder="1" applyAlignment="1">
      <alignment/>
    </xf>
    <xf numFmtId="193" fontId="13" fillId="34" borderId="18" xfId="49" applyFont="1" applyFill="1" applyBorder="1" applyAlignment="1">
      <alignment horizontal="center" vertical="top" wrapText="1"/>
    </xf>
    <xf numFmtId="0" fontId="0" fillId="0" borderId="18" xfId="0" applyBorder="1" applyAlignment="1">
      <alignment/>
    </xf>
    <xf numFmtId="193" fontId="0" fillId="0" borderId="18" xfId="49" applyNumberFormat="1" applyFont="1" applyBorder="1" applyAlignment="1">
      <alignment/>
    </xf>
    <xf numFmtId="0" fontId="109" fillId="41" borderId="18" xfId="0" applyFont="1" applyFill="1" applyBorder="1" applyAlignment="1">
      <alignment horizontal="left" vertical="top" wrapText="1"/>
    </xf>
    <xf numFmtId="195" fontId="106" fillId="0" borderId="39" xfId="49" applyNumberFormat="1" applyFont="1" applyBorder="1" applyAlignment="1">
      <alignment horizontal="center" vertical="center" wrapText="1"/>
    </xf>
    <xf numFmtId="0" fontId="0" fillId="0" borderId="40" xfId="0" applyFont="1" applyBorder="1" applyAlignment="1">
      <alignment horizontal="center" vertical="center"/>
    </xf>
    <xf numFmtId="195" fontId="2" fillId="0" borderId="40" xfId="49" applyNumberFormat="1" applyFont="1" applyFill="1" applyBorder="1" applyAlignment="1" applyProtection="1">
      <alignment/>
      <protection/>
    </xf>
    <xf numFmtId="195" fontId="34" fillId="38" borderId="26" xfId="49" applyNumberFormat="1" applyFont="1" applyFill="1" applyBorder="1" applyAlignment="1">
      <alignment horizontal="center"/>
    </xf>
    <xf numFmtId="195" fontId="105" fillId="38" borderId="27" xfId="49" applyNumberFormat="1" applyFont="1" applyFill="1" applyBorder="1" applyAlignment="1">
      <alignment horizontal="center"/>
    </xf>
    <xf numFmtId="0" fontId="111" fillId="0" borderId="0" xfId="0" applyFont="1" applyAlignment="1">
      <alignment vertical="center" readingOrder="2"/>
    </xf>
    <xf numFmtId="0" fontId="112" fillId="0" borderId="0" xfId="46" applyFont="1" applyAlignment="1" applyProtection="1">
      <alignment vertical="center" readingOrder="2"/>
      <protection/>
    </xf>
    <xf numFmtId="195" fontId="1" fillId="0" borderId="30" xfId="49" applyNumberFormat="1" applyFont="1" applyBorder="1" applyAlignment="1">
      <alignment horizontal="center" vertical="center" wrapText="1"/>
    </xf>
    <xf numFmtId="195" fontId="1" fillId="0" borderId="18" xfId="49" applyNumberFormat="1" applyFont="1" applyBorder="1" applyAlignment="1">
      <alignment horizontal="center" vertical="center" wrapText="1"/>
    </xf>
    <xf numFmtId="195" fontId="0" fillId="38" borderId="39" xfId="49" applyNumberFormat="1" applyFont="1" applyFill="1" applyBorder="1" applyAlignment="1" applyProtection="1">
      <alignment horizontal="center" vertical="center"/>
      <protection hidden="1"/>
    </xf>
    <xf numFmtId="195" fontId="0" fillId="38" borderId="30" xfId="49" applyNumberFormat="1" applyFont="1" applyFill="1" applyBorder="1" applyAlignment="1" applyProtection="1">
      <alignment horizontal="center" vertical="center"/>
      <protection hidden="1"/>
    </xf>
    <xf numFmtId="195" fontId="113" fillId="0" borderId="0" xfId="49" applyNumberFormat="1" applyFont="1" applyAlignment="1" applyProtection="1">
      <alignment horizontal="left" wrapText="1"/>
      <protection hidden="1"/>
    </xf>
    <xf numFmtId="195" fontId="29" fillId="0" borderId="0" xfId="49" applyNumberFormat="1" applyFont="1" applyAlignment="1" applyProtection="1">
      <alignment horizontal="center" vertical="center" wrapText="1"/>
      <protection hidden="1"/>
    </xf>
    <xf numFmtId="0" fontId="0" fillId="38" borderId="29" xfId="0" applyFont="1" applyFill="1" applyBorder="1" applyAlignment="1">
      <alignment horizontal="left"/>
    </xf>
    <xf numFmtId="0" fontId="0" fillId="38" borderId="30" xfId="0" applyFont="1" applyFill="1" applyBorder="1" applyAlignment="1">
      <alignment horizontal="left"/>
    </xf>
    <xf numFmtId="195" fontId="0" fillId="0" borderId="29" xfId="49" applyNumberFormat="1" applyFont="1" applyBorder="1" applyAlignment="1" applyProtection="1">
      <alignment horizontal="center"/>
      <protection locked="0"/>
    </xf>
    <xf numFmtId="195" fontId="0" fillId="0" borderId="30" xfId="49" applyNumberFormat="1" applyFont="1" applyBorder="1" applyAlignment="1" applyProtection="1">
      <alignment horizontal="center"/>
      <protection locked="0"/>
    </xf>
    <xf numFmtId="195" fontId="1" fillId="0" borderId="29" xfId="49" applyNumberFormat="1" applyFont="1" applyBorder="1" applyAlignment="1">
      <alignment horizontal="center" vertical="center" wrapText="1"/>
    </xf>
    <xf numFmtId="195" fontId="114" fillId="44" borderId="22" xfId="49" applyNumberFormat="1" applyFont="1" applyFill="1" applyBorder="1" applyAlignment="1">
      <alignment horizontal="center"/>
    </xf>
    <xf numFmtId="195" fontId="114" fillId="44" borderId="24" xfId="49" applyNumberFormat="1" applyFont="1" applyFill="1" applyBorder="1" applyAlignment="1">
      <alignment horizontal="center"/>
    </xf>
    <xf numFmtId="195" fontId="0" fillId="38" borderId="29" xfId="49" applyNumberFormat="1" applyFont="1" applyFill="1" applyBorder="1" applyAlignment="1">
      <alignment horizontal="center"/>
    </xf>
    <xf numFmtId="195" fontId="0" fillId="38" borderId="30" xfId="49" applyNumberFormat="1" applyFont="1" applyFill="1" applyBorder="1" applyAlignment="1">
      <alignment horizontal="center"/>
    </xf>
    <xf numFmtId="195" fontId="0" fillId="0" borderId="41" xfId="49" applyNumberFormat="1" applyFont="1" applyBorder="1" applyAlignment="1">
      <alignment horizontal="left"/>
    </xf>
    <xf numFmtId="195" fontId="0" fillId="0" borderId="0" xfId="49" applyNumberFormat="1" applyFont="1" applyAlignment="1">
      <alignment horizontal="left"/>
    </xf>
    <xf numFmtId="195" fontId="2" fillId="0" borderId="29" xfId="49" applyNumberFormat="1" applyFont="1" applyFill="1" applyBorder="1" applyAlignment="1" applyProtection="1">
      <alignment horizontal="center"/>
      <protection/>
    </xf>
    <xf numFmtId="195" fontId="2" fillId="0" borderId="39" xfId="49" applyNumberFormat="1" applyFont="1" applyFill="1" applyBorder="1" applyAlignment="1" applyProtection="1">
      <alignment horizontal="center"/>
      <protection/>
    </xf>
    <xf numFmtId="195" fontId="2" fillId="0" borderId="30" xfId="49" applyNumberFormat="1" applyFont="1" applyFill="1" applyBorder="1" applyAlignment="1" applyProtection="1">
      <alignment horizontal="center"/>
      <protection/>
    </xf>
    <xf numFmtId="0" fontId="18" fillId="35" borderId="0" xfId="0" applyFont="1" applyFill="1" applyAlignment="1">
      <alignment horizontal="left" wrapText="1"/>
    </xf>
    <xf numFmtId="0" fontId="18" fillId="35" borderId="0" xfId="0" applyFont="1" applyFill="1" applyAlignment="1">
      <alignment horizontal="left"/>
    </xf>
    <xf numFmtId="0" fontId="12" fillId="33" borderId="0" xfId="0" applyFont="1" applyFill="1" applyBorder="1" applyAlignment="1">
      <alignment horizontal="center"/>
    </xf>
    <xf numFmtId="0" fontId="4" fillId="45" borderId="42" xfId="0" applyFont="1" applyFill="1" applyBorder="1" applyAlignment="1">
      <alignment horizontal="center" vertical="center" wrapText="1"/>
    </xf>
    <xf numFmtId="0" fontId="4" fillId="45" borderId="43" xfId="0" applyFont="1" applyFill="1" applyBorder="1" applyAlignment="1">
      <alignment horizontal="center" vertical="center" wrapText="1"/>
    </xf>
    <xf numFmtId="0" fontId="4" fillId="45" borderId="44" xfId="0" applyFont="1" applyFill="1" applyBorder="1" applyAlignment="1">
      <alignment horizontal="center" vertical="center" wrapText="1"/>
    </xf>
    <xf numFmtId="0" fontId="4" fillId="45" borderId="4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14" fillId="45" borderId="48" xfId="0" applyFont="1" applyFill="1" applyBorder="1" applyAlignment="1">
      <alignment horizontal="center"/>
    </xf>
    <xf numFmtId="0" fontId="14" fillId="45" borderId="49" xfId="0" applyFont="1" applyFill="1" applyBorder="1" applyAlignment="1">
      <alignment horizontal="center"/>
    </xf>
    <xf numFmtId="0" fontId="14" fillId="45" borderId="36" xfId="0" applyFont="1" applyFill="1" applyBorder="1" applyAlignment="1">
      <alignment horizontal="center"/>
    </xf>
    <xf numFmtId="0" fontId="4" fillId="33" borderId="50"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4" fillId="33" borderId="52" xfId="0" applyFont="1" applyFill="1" applyBorder="1" applyAlignment="1">
      <alignment horizontal="center" vertical="top" wrapText="1"/>
    </xf>
    <xf numFmtId="0" fontId="4" fillId="33" borderId="53" xfId="0" applyFont="1" applyFill="1" applyBorder="1" applyAlignment="1">
      <alignment horizontal="center" vertical="top" wrapText="1"/>
    </xf>
    <xf numFmtId="0" fontId="4" fillId="45" borderId="41" xfId="0" applyFont="1" applyFill="1" applyBorder="1" applyAlignment="1">
      <alignment horizontal="center" vertical="center" wrapText="1"/>
    </xf>
    <xf numFmtId="0" fontId="4" fillId="33" borderId="39" xfId="0" applyFont="1" applyFill="1" applyBorder="1" applyAlignment="1">
      <alignment horizontal="center" vertical="top" wrapText="1"/>
    </xf>
    <xf numFmtId="0" fontId="4" fillId="33" borderId="54" xfId="0" applyFont="1" applyFill="1" applyBorder="1" applyAlignment="1">
      <alignment horizontal="center" vertical="center" wrapText="1"/>
    </xf>
    <xf numFmtId="0" fontId="4" fillId="45" borderId="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NORMA!A1" /><Relationship Id="rId3" Type="http://schemas.openxmlformats.org/officeDocument/2006/relationships/hyperlink" Target="#NORMA!A1" /><Relationship Id="rId4" Type="http://schemas.openxmlformats.org/officeDocument/2006/relationships/image" Target="../media/image3.jpeg" /><Relationship Id="rId5" Type="http://schemas.openxmlformats.org/officeDocument/2006/relationships/hyperlink" Target="#PRINT1!A1" /><Relationship Id="rId6" Type="http://schemas.openxmlformats.org/officeDocument/2006/relationships/hyperlink" Target="#PRINT1!A1" /><Relationship Id="rId7"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PROC1!A1" /><Relationship Id="rId3" Type="http://schemas.openxmlformats.org/officeDocument/2006/relationships/hyperlink" Target="#PROC1!A1"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PROC1!A1" /><Relationship Id="rId3" Type="http://schemas.openxmlformats.org/officeDocument/2006/relationships/hyperlink" Target="#PROC1!A1"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PROC1!A1" /><Relationship Id="rId3" Type="http://schemas.openxmlformats.org/officeDocument/2006/relationships/hyperlink" Target="#PROC1!A1"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PROC1!A1" /><Relationship Id="rId3" Type="http://schemas.openxmlformats.org/officeDocument/2006/relationships/hyperlink" Target="#PROC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85725</xdr:rowOff>
    </xdr:from>
    <xdr:to>
      <xdr:col>3</xdr:col>
      <xdr:colOff>419100</xdr:colOff>
      <xdr:row>5</xdr:row>
      <xdr:rowOff>38100</xdr:rowOff>
    </xdr:to>
    <xdr:pic>
      <xdr:nvPicPr>
        <xdr:cNvPr id="1" name="23 Imagen">
          <a:hlinkClick r:id="rId3"/>
        </xdr:cNvPr>
        <xdr:cNvPicPr preferRelativeResize="1">
          <a:picLocks noChangeAspect="1"/>
        </xdr:cNvPicPr>
      </xdr:nvPicPr>
      <xdr:blipFill>
        <a:blip r:embed="rId1"/>
        <a:stretch>
          <a:fillRect/>
        </a:stretch>
      </xdr:blipFill>
      <xdr:spPr>
        <a:xfrm>
          <a:off x="219075" y="152400"/>
          <a:ext cx="676275" cy="581025"/>
        </a:xfrm>
        <a:prstGeom prst="rect">
          <a:avLst/>
        </a:prstGeom>
        <a:noFill/>
        <a:ln w="9525" cmpd="sng">
          <a:noFill/>
        </a:ln>
      </xdr:spPr>
    </xdr:pic>
    <xdr:clientData/>
  </xdr:twoCellAnchor>
  <xdr:twoCellAnchor editAs="oneCell">
    <xdr:from>
      <xdr:col>3</xdr:col>
      <xdr:colOff>400050</xdr:colOff>
      <xdr:row>1</xdr:row>
      <xdr:rowOff>85725</xdr:rowOff>
    </xdr:from>
    <xdr:to>
      <xdr:col>3</xdr:col>
      <xdr:colOff>1066800</xdr:colOff>
      <xdr:row>5</xdr:row>
      <xdr:rowOff>38100</xdr:rowOff>
    </xdr:to>
    <xdr:pic>
      <xdr:nvPicPr>
        <xdr:cNvPr id="2" name="24 Imagen">
          <a:hlinkClick r:id="rId6"/>
        </xdr:cNvPr>
        <xdr:cNvPicPr preferRelativeResize="1">
          <a:picLocks noChangeAspect="1"/>
        </xdr:cNvPicPr>
      </xdr:nvPicPr>
      <xdr:blipFill>
        <a:blip r:embed="rId4"/>
        <a:stretch>
          <a:fillRect/>
        </a:stretch>
      </xdr:blipFill>
      <xdr:spPr>
        <a:xfrm>
          <a:off x="876300" y="152400"/>
          <a:ext cx="666750" cy="581025"/>
        </a:xfrm>
        <a:prstGeom prst="rect">
          <a:avLst/>
        </a:prstGeom>
        <a:noFill/>
        <a:ln w="9525" cmpd="sng">
          <a:noFill/>
        </a:ln>
      </xdr:spPr>
    </xdr:pic>
    <xdr:clientData/>
  </xdr:twoCellAnchor>
  <xdr:twoCellAnchor>
    <xdr:from>
      <xdr:col>3</xdr:col>
      <xdr:colOff>1181100</xdr:colOff>
      <xdr:row>2</xdr:row>
      <xdr:rowOff>9525</xdr:rowOff>
    </xdr:from>
    <xdr:to>
      <xdr:col>3</xdr:col>
      <xdr:colOff>4924425</xdr:colOff>
      <xdr:row>4</xdr:row>
      <xdr:rowOff>200025</xdr:rowOff>
    </xdr:to>
    <xdr:sp>
      <xdr:nvSpPr>
        <xdr:cNvPr id="3" name="5 CuadroTexto"/>
        <xdr:cNvSpPr txBox="1">
          <a:spLocks noChangeArrowheads="1"/>
        </xdr:cNvSpPr>
      </xdr:nvSpPr>
      <xdr:spPr>
        <a:xfrm>
          <a:off x="1657350" y="180975"/>
          <a:ext cx="374332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Retefuente para asalariados,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actualizado Ley 1943 de 2018, Procedimiento No 1</a:t>
          </a:r>
        </a:p>
      </xdr:txBody>
    </xdr:sp>
    <xdr:clientData/>
  </xdr:twoCellAnchor>
  <xdr:twoCellAnchor>
    <xdr:from>
      <xdr:col>3</xdr:col>
      <xdr:colOff>5010150</xdr:colOff>
      <xdr:row>2</xdr:row>
      <xdr:rowOff>9525</xdr:rowOff>
    </xdr:from>
    <xdr:to>
      <xdr:col>9</xdr:col>
      <xdr:colOff>571500</xdr:colOff>
      <xdr:row>4</xdr:row>
      <xdr:rowOff>9525</xdr:rowOff>
    </xdr:to>
    <xdr:sp>
      <xdr:nvSpPr>
        <xdr:cNvPr id="4" name="7 CuadroTexto"/>
        <xdr:cNvSpPr txBox="1">
          <a:spLocks noChangeArrowheads="1"/>
        </xdr:cNvSpPr>
      </xdr:nvSpPr>
      <xdr:spPr>
        <a:xfrm>
          <a:off x="5486400" y="180975"/>
          <a:ext cx="53435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Nota: Retención aplicable para</a:t>
          </a:r>
          <a:r>
            <a:rPr lang="en-US" cap="none" sz="1100" b="0" i="0" u="none" baseline="0">
              <a:solidFill>
                <a:srgbClr val="000000"/>
              </a:solidFill>
              <a:latin typeface="Calibri"/>
              <a:ea typeface="Calibri"/>
              <a:cs typeface="Calibri"/>
            </a:rPr>
            <a:t> el año gravable 2019</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85725</xdr:colOff>
      <xdr:row>69</xdr:row>
      <xdr:rowOff>66675</xdr:rowOff>
    </xdr:from>
    <xdr:to>
      <xdr:col>1</xdr:col>
      <xdr:colOff>257175</xdr:colOff>
      <xdr:row>71</xdr:row>
      <xdr:rowOff>0</xdr:rowOff>
    </xdr:to>
    <xdr:pic>
      <xdr:nvPicPr>
        <xdr:cNvPr id="5" name="CommandButton9"/>
        <xdr:cNvPicPr preferRelativeResize="1">
          <a:picLocks noChangeAspect="1"/>
        </xdr:cNvPicPr>
      </xdr:nvPicPr>
      <xdr:blipFill>
        <a:blip r:embed="rId7"/>
        <a:stretch>
          <a:fillRect/>
        </a:stretch>
      </xdr:blipFill>
      <xdr:spPr>
        <a:xfrm>
          <a:off x="85725" y="11220450"/>
          <a:ext cx="276225" cy="2571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47625</xdr:rowOff>
    </xdr:from>
    <xdr:to>
      <xdr:col>3</xdr:col>
      <xdr:colOff>428625</xdr:colOff>
      <xdr:row>5</xdr:row>
      <xdr:rowOff>0</xdr:rowOff>
    </xdr:to>
    <xdr:pic>
      <xdr:nvPicPr>
        <xdr:cNvPr id="1" name="3 Imagen">
          <a:hlinkClick r:id="rId3"/>
        </xdr:cNvPr>
        <xdr:cNvPicPr preferRelativeResize="1">
          <a:picLocks noChangeAspect="1"/>
        </xdr:cNvPicPr>
      </xdr:nvPicPr>
      <xdr:blipFill>
        <a:blip r:embed="rId1"/>
        <a:stretch>
          <a:fillRect/>
        </a:stretch>
      </xdr:blipFill>
      <xdr:spPr>
        <a:xfrm>
          <a:off x="228600" y="114300"/>
          <a:ext cx="676275" cy="581025"/>
        </a:xfrm>
        <a:prstGeom prst="rect">
          <a:avLst/>
        </a:prstGeom>
        <a:noFill/>
        <a:ln w="9525" cmpd="sng">
          <a:noFill/>
        </a:ln>
      </xdr:spPr>
    </xdr:pic>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285750</xdr:rowOff>
    </xdr:from>
    <xdr:to>
      <xdr:col>1</xdr:col>
      <xdr:colOff>628650</xdr:colOff>
      <xdr:row>2</xdr:row>
      <xdr:rowOff>133350</xdr:rowOff>
    </xdr:to>
    <xdr:pic>
      <xdr:nvPicPr>
        <xdr:cNvPr id="1" name="2 Imagen">
          <a:hlinkClick r:id="rId3"/>
        </xdr:cNvPr>
        <xdr:cNvPicPr preferRelativeResize="1">
          <a:picLocks noChangeAspect="1"/>
        </xdr:cNvPicPr>
      </xdr:nvPicPr>
      <xdr:blipFill>
        <a:blip r:embed="rId1"/>
        <a:stretch>
          <a:fillRect/>
        </a:stretch>
      </xdr:blipFill>
      <xdr:spPr>
        <a:xfrm>
          <a:off x="85725" y="285750"/>
          <a:ext cx="6762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xdr:col>
      <xdr:colOff>685800</xdr:colOff>
      <xdr:row>4</xdr:row>
      <xdr:rowOff>19050</xdr:rowOff>
    </xdr:to>
    <xdr:pic>
      <xdr:nvPicPr>
        <xdr:cNvPr id="1" name="2 Imagen">
          <a:hlinkClick r:id="rId3"/>
        </xdr:cNvPr>
        <xdr:cNvPicPr preferRelativeResize="1">
          <a:picLocks noChangeAspect="1"/>
        </xdr:cNvPicPr>
      </xdr:nvPicPr>
      <xdr:blipFill>
        <a:blip r:embed="rId1"/>
        <a:stretch>
          <a:fillRect/>
        </a:stretch>
      </xdr:blipFill>
      <xdr:spPr>
        <a:xfrm>
          <a:off x="66675" y="66675"/>
          <a:ext cx="67627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676275</xdr:colOff>
      <xdr:row>4</xdr:row>
      <xdr:rowOff>19050</xdr:rowOff>
    </xdr:to>
    <xdr:pic>
      <xdr:nvPicPr>
        <xdr:cNvPr id="1" name="2 Imagen">
          <a:hlinkClick r:id="rId3"/>
        </xdr:cNvPr>
        <xdr:cNvPicPr preferRelativeResize="1">
          <a:picLocks noChangeAspect="1"/>
        </xdr:cNvPicPr>
      </xdr:nvPicPr>
      <xdr:blipFill>
        <a:blip r:embed="rId1"/>
        <a:stretch>
          <a:fillRect/>
        </a:stretch>
      </xdr:blipFill>
      <xdr:spPr>
        <a:xfrm>
          <a:off x="57150" y="66675"/>
          <a:ext cx="6762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sultorcontable.com/" TargetMode="External" /><Relationship Id="rId2" Type="http://schemas.openxmlformats.org/officeDocument/2006/relationships/hyperlink" Target="http://www.consultorcontable.com/retenci%C3%B3n-salarios/" TargetMode="External" /><Relationship Id="rId3" Type="http://schemas.openxmlformats.org/officeDocument/2006/relationships/hyperlink" Target="mailto:consultorcontable1@gmail.co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sultorcontable.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2:N280"/>
  <sheetViews>
    <sheetView showGridLines="0" tabSelected="1" defaultGridColor="0" zoomScalePageLayoutView="0" colorId="23" workbookViewId="0" topLeftCell="A1">
      <pane ySplit="6" topLeftCell="A7" activePane="bottomLeft" state="frozen"/>
      <selection pane="topLeft" activeCell="A1" sqref="A1"/>
      <selection pane="bottomLeft" activeCell="J10" sqref="J10"/>
    </sheetView>
  </sheetViews>
  <sheetFormatPr defaultColWidth="0" defaultRowHeight="12.75" outlineLevelCol="1"/>
  <cols>
    <col min="1" max="1" width="1.57421875" style="45" customWidth="1"/>
    <col min="2" max="2" width="4.00390625" style="45" customWidth="1"/>
    <col min="3" max="3" width="1.57421875" style="45" customWidth="1"/>
    <col min="4" max="4" width="76.57421875" style="45" customWidth="1"/>
    <col min="5" max="5" width="16.421875" style="51" customWidth="1"/>
    <col min="6" max="6" width="32.28125" style="51" customWidth="1" outlineLevel="1"/>
    <col min="7" max="7" width="13.140625" style="52" hidden="1" customWidth="1" outlineLevel="1"/>
    <col min="8" max="8" width="11.57421875" style="52" hidden="1" customWidth="1" outlineLevel="1"/>
    <col min="9" max="9" width="21.421875" style="51" customWidth="1"/>
    <col min="10" max="10" width="13.00390625" style="51" bestFit="1" customWidth="1"/>
    <col min="11" max="11" width="14.7109375" style="51" customWidth="1"/>
    <col min="12" max="13" width="11.421875" style="51" hidden="1" customWidth="1"/>
    <col min="14" max="14" width="11.421875" style="45" hidden="1" customWidth="1"/>
    <col min="15" max="16384" width="0" style="45" hidden="1" customWidth="1"/>
  </cols>
  <sheetData>
    <row r="1" ht="5.25" customHeight="1"/>
    <row r="2" spans="2:14" ht="8.25" customHeight="1">
      <c r="B2" s="208"/>
      <c r="C2" s="208"/>
      <c r="D2" s="208"/>
      <c r="E2" s="209"/>
      <c r="F2" s="209"/>
      <c r="G2" s="210"/>
      <c r="H2" s="210"/>
      <c r="I2" s="209"/>
      <c r="J2" s="211"/>
      <c r="K2" s="211"/>
      <c r="L2" s="53"/>
      <c r="M2" s="53"/>
      <c r="N2" s="53"/>
    </row>
    <row r="3" spans="2:14" ht="16.5" customHeight="1">
      <c r="B3" s="208"/>
      <c r="C3" s="208"/>
      <c r="D3" s="212"/>
      <c r="E3" s="213"/>
      <c r="F3" s="211"/>
      <c r="G3" s="214"/>
      <c r="H3" s="214"/>
      <c r="I3" s="211"/>
      <c r="J3" s="211"/>
      <c r="K3" s="211"/>
      <c r="L3" s="53"/>
      <c r="M3" s="53"/>
      <c r="N3" s="53"/>
    </row>
    <row r="4" spans="2:14" ht="6.75" customHeight="1">
      <c r="B4" s="208"/>
      <c r="C4" s="208"/>
      <c r="D4" s="212"/>
      <c r="E4" s="215"/>
      <c r="F4" s="215"/>
      <c r="G4" s="216"/>
      <c r="H4" s="216"/>
      <c r="I4" s="215"/>
      <c r="J4" s="211"/>
      <c r="K4" s="211"/>
      <c r="L4" s="53"/>
      <c r="M4" s="53"/>
      <c r="N4" s="53"/>
    </row>
    <row r="5" spans="2:14" ht="18">
      <c r="B5" s="208"/>
      <c r="C5" s="208"/>
      <c r="D5" s="217"/>
      <c r="E5" s="211" t="str">
        <f>+B8</f>
        <v>Procedimiento No. 1</v>
      </c>
      <c r="F5" s="211"/>
      <c r="G5" s="214"/>
      <c r="H5" s="214"/>
      <c r="I5" s="211"/>
      <c r="J5" s="211"/>
      <c r="K5" s="211"/>
      <c r="L5" s="53"/>
      <c r="M5" s="53"/>
      <c r="N5" s="53"/>
    </row>
    <row r="6" spans="2:14" ht="6" customHeight="1">
      <c r="B6" s="208"/>
      <c r="C6" s="208"/>
      <c r="D6" s="208"/>
      <c r="E6" s="218"/>
      <c r="F6" s="209"/>
      <c r="G6" s="210"/>
      <c r="H6" s="210"/>
      <c r="I6" s="209"/>
      <c r="J6" s="211"/>
      <c r="K6" s="211"/>
      <c r="L6" s="53"/>
      <c r="M6" s="53"/>
      <c r="N6" s="53"/>
    </row>
    <row r="7" ht="12.75"/>
    <row r="8" spans="2:14" ht="18">
      <c r="B8" s="54" t="s">
        <v>29</v>
      </c>
      <c r="C8" s="55"/>
      <c r="D8" s="55"/>
      <c r="E8" s="45"/>
      <c r="F8" s="56" t="s">
        <v>59</v>
      </c>
      <c r="I8" s="57" t="s">
        <v>5</v>
      </c>
      <c r="K8" s="242">
        <f>+D88</f>
        <v>0</v>
      </c>
      <c r="L8" s="242"/>
      <c r="M8" s="242"/>
      <c r="N8" s="242"/>
    </row>
    <row r="9" spans="5:14" ht="15" customHeight="1">
      <c r="E9" s="45"/>
      <c r="F9" s="56" t="s">
        <v>87</v>
      </c>
      <c r="I9" s="58"/>
      <c r="K9" s="242"/>
      <c r="L9" s="242"/>
      <c r="M9" s="242"/>
      <c r="N9" s="242"/>
    </row>
    <row r="10" spans="4:14" ht="13.5" thickBot="1">
      <c r="D10" s="45" t="s">
        <v>25</v>
      </c>
      <c r="K10" s="242"/>
      <c r="L10" s="242"/>
      <c r="M10" s="242"/>
      <c r="N10" s="242"/>
    </row>
    <row r="11" spans="4:14" ht="15.75" thickBot="1">
      <c r="D11" s="194" t="s">
        <v>30</v>
      </c>
      <c r="E11" s="219" t="s">
        <v>34</v>
      </c>
      <c r="I11" s="59" t="s">
        <v>117</v>
      </c>
      <c r="K11" s="242"/>
      <c r="L11" s="242"/>
      <c r="M11" s="242"/>
      <c r="N11" s="242"/>
    </row>
    <row r="12" spans="4:14" ht="14.25">
      <c r="D12" s="193" t="s">
        <v>58</v>
      </c>
      <c r="K12" s="242"/>
      <c r="L12" s="242"/>
      <c r="M12" s="242"/>
      <c r="N12" s="242"/>
    </row>
    <row r="13" spans="4:14" ht="14.25">
      <c r="D13" s="193" t="s">
        <v>89</v>
      </c>
      <c r="E13" s="220" t="s">
        <v>4</v>
      </c>
      <c r="F13" s="60"/>
      <c r="G13" s="61"/>
      <c r="H13" s="61"/>
      <c r="I13" s="222" t="s">
        <v>35</v>
      </c>
      <c r="K13" s="242"/>
      <c r="L13" s="242"/>
      <c r="M13" s="242"/>
      <c r="N13" s="242"/>
    </row>
    <row r="14" spans="1:9" ht="12.75">
      <c r="A14" s="62"/>
      <c r="D14" s="185" t="s">
        <v>59</v>
      </c>
      <c r="E14" s="221" t="s">
        <v>129</v>
      </c>
      <c r="I14" s="63">
        <v>34270</v>
      </c>
    </row>
    <row r="15" spans="5:9" ht="12.75">
      <c r="E15" s="221" t="s">
        <v>113</v>
      </c>
      <c r="I15" s="63">
        <v>33156</v>
      </c>
    </row>
    <row r="16" ht="13.5" thickBot="1">
      <c r="D16" s="65">
        <f>IF(D104=1,"Aplicativo vencido, visite www.consultorcontable.com y descargue la versión actualizada","")</f>
      </c>
    </row>
    <row r="17" spans="2:9" ht="15.75" thickBot="1">
      <c r="B17" s="66"/>
      <c r="C17" s="67"/>
      <c r="D17" s="68" t="s">
        <v>36</v>
      </c>
      <c r="E17" s="69" t="s">
        <v>31</v>
      </c>
      <c r="F17" s="70" t="s">
        <v>32</v>
      </c>
      <c r="G17" s="248" t="s">
        <v>70</v>
      </c>
      <c r="H17" s="249"/>
      <c r="I17" s="70" t="s">
        <v>33</v>
      </c>
    </row>
    <row r="18" spans="4:12" ht="13.5" thickBot="1">
      <c r="D18" s="1"/>
      <c r="E18" s="71"/>
      <c r="F18" s="71"/>
      <c r="G18" s="72"/>
      <c r="H18" s="72"/>
      <c r="I18" s="71"/>
      <c r="L18" s="51" t="s">
        <v>57</v>
      </c>
    </row>
    <row r="19" spans="2:4" ht="14.25" customHeight="1" thickBot="1">
      <c r="B19" s="73">
        <v>1</v>
      </c>
      <c r="C19" s="74"/>
      <c r="D19" s="144" t="s">
        <v>80</v>
      </c>
    </row>
    <row r="20" spans="4:9" ht="12.75" customHeight="1">
      <c r="D20" s="75" t="s">
        <v>48</v>
      </c>
      <c r="E20" s="64"/>
      <c r="F20" s="76"/>
      <c r="G20" s="77"/>
      <c r="H20" s="77"/>
      <c r="I20" s="78">
        <f>+E20</f>
        <v>0</v>
      </c>
    </row>
    <row r="21" spans="4:9" ht="12.75" customHeight="1">
      <c r="D21" s="75" t="s">
        <v>49</v>
      </c>
      <c r="E21" s="64">
        <v>0</v>
      </c>
      <c r="F21" s="76"/>
      <c r="G21" s="77"/>
      <c r="H21" s="77"/>
      <c r="I21" s="78">
        <f aca="true" t="shared" si="0" ref="I21:I37">+E21</f>
        <v>0</v>
      </c>
    </row>
    <row r="22" spans="4:9" ht="12.75" customHeight="1">
      <c r="D22" s="75" t="s">
        <v>50</v>
      </c>
      <c r="E22" s="64">
        <v>0</v>
      </c>
      <c r="F22" s="76"/>
      <c r="G22" s="77"/>
      <c r="H22" s="77"/>
      <c r="I22" s="78">
        <f t="shared" si="0"/>
        <v>0</v>
      </c>
    </row>
    <row r="23" spans="4:9" ht="12.75" customHeight="1">
      <c r="D23" s="75" t="s">
        <v>51</v>
      </c>
      <c r="E23" s="64">
        <v>0</v>
      </c>
      <c r="F23" s="76"/>
      <c r="G23" s="77"/>
      <c r="H23" s="77"/>
      <c r="I23" s="78">
        <f t="shared" si="0"/>
        <v>0</v>
      </c>
    </row>
    <row r="24" spans="4:9" ht="12.75" customHeight="1">
      <c r="D24" s="75" t="s">
        <v>52</v>
      </c>
      <c r="E24" s="64">
        <v>0</v>
      </c>
      <c r="F24" s="76"/>
      <c r="G24" s="77"/>
      <c r="H24" s="77"/>
      <c r="I24" s="78">
        <f t="shared" si="0"/>
        <v>0</v>
      </c>
    </row>
    <row r="25" spans="4:9" ht="12.75" customHeight="1">
      <c r="D25" s="75" t="s">
        <v>67</v>
      </c>
      <c r="E25" s="64">
        <v>0</v>
      </c>
      <c r="F25" s="76"/>
      <c r="G25" s="77"/>
      <c r="H25" s="77"/>
      <c r="I25" s="78">
        <f t="shared" si="0"/>
        <v>0</v>
      </c>
    </row>
    <row r="26" spans="4:9" ht="12.75" customHeight="1">
      <c r="D26" s="75" t="s">
        <v>53</v>
      </c>
      <c r="E26" s="64">
        <v>0</v>
      </c>
      <c r="F26" s="76"/>
      <c r="G26" s="77"/>
      <c r="H26" s="77"/>
      <c r="I26" s="78">
        <f t="shared" si="0"/>
        <v>0</v>
      </c>
    </row>
    <row r="27" spans="4:9" ht="12.75" customHeight="1" hidden="1">
      <c r="D27" s="75" t="s">
        <v>96</v>
      </c>
      <c r="E27" s="64">
        <v>0</v>
      </c>
      <c r="F27" s="76"/>
      <c r="G27" s="77"/>
      <c r="H27" s="77"/>
      <c r="I27" s="78">
        <f t="shared" si="0"/>
        <v>0</v>
      </c>
    </row>
    <row r="28" spans="4:9" ht="12.75" customHeight="1">
      <c r="D28" s="75" t="s">
        <v>68</v>
      </c>
      <c r="E28" s="64">
        <v>0</v>
      </c>
      <c r="F28" s="76"/>
      <c r="G28" s="77"/>
      <c r="H28" s="77"/>
      <c r="I28" s="78">
        <f t="shared" si="0"/>
        <v>0</v>
      </c>
    </row>
    <row r="29" spans="4:9" ht="12.75" customHeight="1">
      <c r="D29" s="75" t="s">
        <v>66</v>
      </c>
      <c r="E29" s="64">
        <v>0</v>
      </c>
      <c r="F29" s="76"/>
      <c r="G29" s="77"/>
      <c r="H29" s="77"/>
      <c r="I29" s="78">
        <f t="shared" si="0"/>
        <v>0</v>
      </c>
    </row>
    <row r="30" spans="4:9" ht="12.75" customHeight="1">
      <c r="D30" s="75" t="s">
        <v>54</v>
      </c>
      <c r="E30" s="64">
        <v>0</v>
      </c>
      <c r="F30" s="76"/>
      <c r="G30" s="77"/>
      <c r="H30" s="77"/>
      <c r="I30" s="78">
        <f t="shared" si="0"/>
        <v>0</v>
      </c>
    </row>
    <row r="31" spans="4:9" ht="12.75" customHeight="1">
      <c r="D31" s="75" t="s">
        <v>90</v>
      </c>
      <c r="E31" s="64">
        <v>0</v>
      </c>
      <c r="F31" s="76"/>
      <c r="G31" s="77"/>
      <c r="H31" s="77"/>
      <c r="I31" s="78">
        <f t="shared" si="0"/>
        <v>0</v>
      </c>
    </row>
    <row r="32" spans="4:9" ht="12.75" customHeight="1">
      <c r="D32" s="75" t="s">
        <v>105</v>
      </c>
      <c r="E32" s="64">
        <v>0</v>
      </c>
      <c r="F32" s="76" t="s">
        <v>57</v>
      </c>
      <c r="G32" s="77"/>
      <c r="H32" s="77"/>
      <c r="I32" s="78">
        <v>0</v>
      </c>
    </row>
    <row r="33" spans="4:9" ht="12.75" customHeight="1">
      <c r="D33" s="75" t="s">
        <v>106</v>
      </c>
      <c r="E33" s="64">
        <v>0</v>
      </c>
      <c r="F33" s="76" t="s">
        <v>57</v>
      </c>
      <c r="G33" s="77"/>
      <c r="H33" s="77"/>
      <c r="I33" s="78">
        <v>0</v>
      </c>
    </row>
    <row r="34" spans="4:9" ht="12.75" customHeight="1">
      <c r="D34" s="75" t="s">
        <v>60</v>
      </c>
      <c r="E34" s="64">
        <v>0</v>
      </c>
      <c r="F34" s="76"/>
      <c r="G34" s="77"/>
      <c r="H34" s="77"/>
      <c r="I34" s="78">
        <v>0</v>
      </c>
    </row>
    <row r="35" spans="4:9" ht="12.75" customHeight="1">
      <c r="D35" s="75" t="s">
        <v>55</v>
      </c>
      <c r="E35" s="64">
        <v>0</v>
      </c>
      <c r="F35" s="76"/>
      <c r="G35" s="77"/>
      <c r="H35" s="77"/>
      <c r="I35" s="78">
        <f t="shared" si="0"/>
        <v>0</v>
      </c>
    </row>
    <row r="36" spans="4:9" ht="12.75" customHeight="1">
      <c r="D36" s="75" t="s">
        <v>56</v>
      </c>
      <c r="E36" s="64">
        <v>0</v>
      </c>
      <c r="F36" s="76"/>
      <c r="G36" s="77"/>
      <c r="H36" s="77"/>
      <c r="I36" s="78">
        <f t="shared" si="0"/>
        <v>0</v>
      </c>
    </row>
    <row r="37" spans="2:9" ht="12.75" customHeight="1">
      <c r="B37" s="79"/>
      <c r="D37" s="75" t="s">
        <v>94</v>
      </c>
      <c r="E37" s="64">
        <v>0</v>
      </c>
      <c r="F37" s="76"/>
      <c r="G37" s="77"/>
      <c r="H37" s="77"/>
      <c r="I37" s="78">
        <f t="shared" si="0"/>
        <v>0</v>
      </c>
    </row>
    <row r="38" spans="2:9" ht="12.75" customHeight="1">
      <c r="B38" s="79"/>
      <c r="D38" s="80" t="s">
        <v>93</v>
      </c>
      <c r="E38" s="81">
        <f>SUM(E20:E37)</f>
        <v>0</v>
      </c>
      <c r="F38" s="82"/>
      <c r="G38" s="83"/>
      <c r="H38" s="83"/>
      <c r="I38" s="81">
        <f>SUM(I20:I37)</f>
        <v>0</v>
      </c>
    </row>
    <row r="39" spans="2:9" ht="12.75" customHeight="1">
      <c r="B39" s="79"/>
      <c r="D39" s="80" t="s">
        <v>95</v>
      </c>
      <c r="E39" s="81">
        <f>+I38-I32-I33-I34</f>
        <v>0</v>
      </c>
      <c r="F39" s="233"/>
      <c r="G39" s="234"/>
      <c r="H39" s="234"/>
      <c r="I39" s="81"/>
    </row>
    <row r="40" spans="2:9" ht="12.75">
      <c r="B40" s="79"/>
      <c r="F40" s="84"/>
      <c r="G40" s="85"/>
      <c r="H40" s="85"/>
      <c r="I40" s="51" t="s">
        <v>57</v>
      </c>
    </row>
    <row r="41" spans="2:9" ht="12.75">
      <c r="B41" s="79"/>
      <c r="D41" s="86" t="s">
        <v>109</v>
      </c>
      <c r="E41" s="87"/>
      <c r="F41" s="88"/>
      <c r="G41" s="89"/>
      <c r="H41" s="89"/>
      <c r="I41" s="90">
        <f>+E39</f>
        <v>0</v>
      </c>
    </row>
    <row r="42" spans="2:13" s="92" customFormat="1" ht="13.5" thickBot="1">
      <c r="B42" s="91"/>
      <c r="D42" s="93"/>
      <c r="E42" s="93"/>
      <c r="F42" s="93"/>
      <c r="G42" s="94"/>
      <c r="H42" s="94"/>
      <c r="I42" s="95"/>
      <c r="J42" s="96"/>
      <c r="K42" s="96"/>
      <c r="L42" s="96"/>
      <c r="M42" s="96"/>
    </row>
    <row r="43" spans="2:4" ht="14.25" customHeight="1" thickBot="1">
      <c r="B43" s="73">
        <v>2</v>
      </c>
      <c r="D43" s="97" t="s">
        <v>110</v>
      </c>
    </row>
    <row r="44" spans="2:11" ht="14.25" customHeight="1">
      <c r="B44" s="98"/>
      <c r="D44" s="75" t="s">
        <v>99</v>
      </c>
      <c r="E44" s="64">
        <v>0</v>
      </c>
      <c r="F44" s="111" t="s">
        <v>100</v>
      </c>
      <c r="G44" s="99"/>
      <c r="H44" s="99">
        <f>+E44</f>
        <v>0</v>
      </c>
      <c r="I44" s="78">
        <f>+H44</f>
        <v>0</v>
      </c>
      <c r="J44" s="51" t="str">
        <f>+IF((I44)&gt;(E20*4%),"revisar descuento","ok")</f>
        <v>ok</v>
      </c>
      <c r="K44"/>
    </row>
    <row r="45" spans="2:10" ht="14.25" customHeight="1">
      <c r="B45" s="98"/>
      <c r="D45" s="75" t="s">
        <v>82</v>
      </c>
      <c r="E45" s="64">
        <v>0</v>
      </c>
      <c r="F45" s="111" t="s">
        <v>100</v>
      </c>
      <c r="G45" s="112"/>
      <c r="H45" s="112">
        <f>+E45</f>
        <v>0</v>
      </c>
      <c r="I45" s="78">
        <f>+H45</f>
        <v>0</v>
      </c>
      <c r="J45" s="51" t="str">
        <f>+IF((I45)&gt;(E20*2%),"revisar descuento","ok")</f>
        <v>ok</v>
      </c>
    </row>
    <row r="46" spans="2:10" ht="14.25" customHeight="1">
      <c r="B46" s="98"/>
      <c r="D46" s="141" t="s">
        <v>138</v>
      </c>
      <c r="E46" s="64">
        <v>0</v>
      </c>
      <c r="F46" s="111" t="s">
        <v>137</v>
      </c>
      <c r="G46" s="112">
        <f>+E39*25%</f>
        <v>0</v>
      </c>
      <c r="H46" s="112">
        <f>2500*I14</f>
        <v>85675000</v>
      </c>
      <c r="I46" s="78">
        <f>IF(E46&lt;J46,E46,J46)</f>
        <v>0</v>
      </c>
      <c r="J46" s="56">
        <f>MIN(G46,H46)</f>
        <v>0</v>
      </c>
    </row>
    <row r="47" spans="2:11" ht="14.25" customHeight="1">
      <c r="B47" s="98"/>
      <c r="D47" s="191" t="s">
        <v>146</v>
      </c>
      <c r="E47" s="64">
        <v>0</v>
      </c>
      <c r="F47" s="111" t="s">
        <v>100</v>
      </c>
      <c r="G47" s="112"/>
      <c r="H47" s="112">
        <f>+E47</f>
        <v>0</v>
      </c>
      <c r="I47" s="78">
        <f>+E47</f>
        <v>0</v>
      </c>
      <c r="J47" s="51" t="str">
        <f>+IF((I47)&gt;(E20*4%),"revisar descuento","ok")</f>
        <v>ok</v>
      </c>
      <c r="K47" s="102"/>
    </row>
    <row r="48" spans="2:9" ht="12.75">
      <c r="B48" s="79"/>
      <c r="D48" s="107" t="s">
        <v>111</v>
      </c>
      <c r="E48" s="81">
        <f>SUM(E44:E47)</f>
        <v>0</v>
      </c>
      <c r="F48" s="108"/>
      <c r="G48" s="109"/>
      <c r="H48" s="109"/>
      <c r="I48" s="81">
        <f>SUM(I44:I47)</f>
        <v>0</v>
      </c>
    </row>
    <row r="49" ht="12.75">
      <c r="B49" s="79"/>
    </row>
    <row r="50" spans="2:9" ht="12.75">
      <c r="B50" s="79"/>
      <c r="D50" s="86" t="s">
        <v>107</v>
      </c>
      <c r="E50" s="87"/>
      <c r="F50" s="88"/>
      <c r="G50" s="89"/>
      <c r="H50" s="89"/>
      <c r="I50" s="90">
        <f>+I41-I48</f>
        <v>0</v>
      </c>
    </row>
    <row r="51" spans="2:9" ht="13.5" thickBot="1">
      <c r="B51" s="79"/>
      <c r="H51" s="52" t="s">
        <v>57</v>
      </c>
      <c r="I51" s="110"/>
    </row>
    <row r="52" spans="2:8" ht="16.5" thickBot="1">
      <c r="B52" s="73">
        <v>3</v>
      </c>
      <c r="D52" s="140" t="s">
        <v>76</v>
      </c>
      <c r="H52" s="52" t="s">
        <v>57</v>
      </c>
    </row>
    <row r="53" spans="2:10" ht="16.5" customHeight="1">
      <c r="B53" s="79"/>
      <c r="D53" s="75" t="s">
        <v>91</v>
      </c>
      <c r="E53" s="64">
        <v>0</v>
      </c>
      <c r="F53" s="111" t="s">
        <v>69</v>
      </c>
      <c r="G53" s="112">
        <f>100*I14</f>
        <v>3427000</v>
      </c>
      <c r="H53" s="200"/>
      <c r="I53" s="78">
        <f>+IF((E53&gt;G53),G53,E53)</f>
        <v>0</v>
      </c>
      <c r="J53" s="51">
        <f>+IF((I53&gt;1),"x","")</f>
      </c>
    </row>
    <row r="54" spans="2:10" ht="27.75" customHeight="1">
      <c r="B54" s="79"/>
      <c r="D54" s="191" t="s">
        <v>92</v>
      </c>
      <c r="E54" s="64">
        <v>0</v>
      </c>
      <c r="F54" s="103" t="s">
        <v>26</v>
      </c>
      <c r="G54" s="112">
        <f>16*I14</f>
        <v>548320</v>
      </c>
      <c r="H54" s="200"/>
      <c r="I54" s="78">
        <f>+IF(E54&lt;(16*I14),E54,(16*I14))</f>
        <v>0</v>
      </c>
      <c r="J54" s="51">
        <f>+IF((I54&gt;1),"x","")</f>
      </c>
    </row>
    <row r="55" spans="2:14" ht="12" customHeight="1">
      <c r="B55" s="79"/>
      <c r="D55" s="243" t="s">
        <v>78</v>
      </c>
      <c r="E55" s="245">
        <v>0</v>
      </c>
      <c r="F55" s="247" t="s">
        <v>147</v>
      </c>
      <c r="G55" s="112">
        <f>+E39*0.1</f>
        <v>0</v>
      </c>
      <c r="H55" s="101">
        <f>IF(E55&lt;G55,E55,G55)</f>
        <v>0</v>
      </c>
      <c r="I55" s="250">
        <f>+IF((H55&gt;H56),(H56),(H55))</f>
        <v>0</v>
      </c>
      <c r="J55" s="252">
        <f>+IF((I55&gt;1),"x","")</f>
      </c>
      <c r="K55" s="253"/>
      <c r="L55" s="253"/>
      <c r="M55" s="253"/>
      <c r="N55" s="253"/>
    </row>
    <row r="56" spans="2:14" ht="10.5" customHeight="1">
      <c r="B56" s="79"/>
      <c r="D56" s="244"/>
      <c r="E56" s="246"/>
      <c r="F56" s="237"/>
      <c r="G56" s="101">
        <f>32*I14</f>
        <v>1096640</v>
      </c>
      <c r="H56" s="101">
        <f>IF(E55&lt;G56,E55,G56)</f>
        <v>0</v>
      </c>
      <c r="I56" s="251"/>
      <c r="J56" s="252"/>
      <c r="K56" s="253"/>
      <c r="L56" s="253"/>
      <c r="M56" s="253"/>
      <c r="N56" s="253"/>
    </row>
    <row r="57" spans="2:11" ht="12.75">
      <c r="B57" s="79"/>
      <c r="D57" s="107" t="s">
        <v>38</v>
      </c>
      <c r="E57" s="81" t="s">
        <v>57</v>
      </c>
      <c r="F57" s="108"/>
      <c r="G57" s="109"/>
      <c r="H57" s="109"/>
      <c r="I57" s="81">
        <f>SUM(I53:I56)</f>
        <v>0</v>
      </c>
      <c r="K57" s="51" t="s">
        <v>57</v>
      </c>
    </row>
    <row r="58" spans="2:9" ht="12.75">
      <c r="B58" s="79"/>
      <c r="C58" s="198"/>
      <c r="D58" s="198"/>
      <c r="E58" s="198"/>
      <c r="F58" s="198"/>
      <c r="G58" s="199"/>
      <c r="H58" s="199"/>
      <c r="I58" s="199"/>
    </row>
    <row r="59" spans="2:9" ht="12.75">
      <c r="B59" s="79"/>
      <c r="D59" s="86" t="s">
        <v>108</v>
      </c>
      <c r="E59" s="198"/>
      <c r="F59" s="198" t="s">
        <v>104</v>
      </c>
      <c r="G59" s="199">
        <f>(5040*I14)/12</f>
        <v>14393400</v>
      </c>
      <c r="H59" s="199"/>
      <c r="I59" s="81">
        <f>+IF(((E39-I48)*40%&gt;G59),G59,((E39-I48)*40%))</f>
        <v>0</v>
      </c>
    </row>
    <row r="60" spans="2:9" ht="12.75">
      <c r="B60" s="79"/>
      <c r="D60" s="86" t="s">
        <v>102</v>
      </c>
      <c r="E60" s="198"/>
      <c r="F60" s="198"/>
      <c r="G60" s="199"/>
      <c r="H60" s="199"/>
      <c r="I60" s="81">
        <f>+I57+I72+I78</f>
        <v>0</v>
      </c>
    </row>
    <row r="61" spans="2:9" ht="13.5" thickBot="1">
      <c r="B61" s="79"/>
      <c r="D61" s="79"/>
      <c r="E61" s="79"/>
      <c r="F61" s="79"/>
      <c r="G61" s="79"/>
      <c r="H61" s="79"/>
      <c r="I61" s="79"/>
    </row>
    <row r="62" spans="2:9" ht="16.5" thickBot="1">
      <c r="B62" s="73">
        <v>4</v>
      </c>
      <c r="D62" s="140" t="s">
        <v>75</v>
      </c>
      <c r="E62" s="79"/>
      <c r="F62" s="231"/>
      <c r="G62" s="231"/>
      <c r="H62" s="231"/>
      <c r="I62" s="231"/>
    </row>
    <row r="63" spans="2:9" ht="12.75" customHeight="1" hidden="1">
      <c r="B63" s="79"/>
      <c r="D63" s="141" t="s">
        <v>81</v>
      </c>
      <c r="E63" s="100">
        <f>+E27</f>
        <v>0</v>
      </c>
      <c r="F63" s="237" t="s">
        <v>142</v>
      </c>
      <c r="G63" s="101"/>
      <c r="H63" s="230">
        <f>IF((E64+E65+E63)&lt;(E39*30%),(+E64+E65+E63),(E39*30%))</f>
        <v>0</v>
      </c>
      <c r="I63" s="239">
        <f>+IF(H64&lt;H63,H64,H63)</f>
        <v>0</v>
      </c>
    </row>
    <row r="64" spans="2:9" ht="12.75">
      <c r="B64" s="79"/>
      <c r="D64" s="75" t="s">
        <v>77</v>
      </c>
      <c r="E64" s="64"/>
      <c r="F64" s="238"/>
      <c r="G64" s="104"/>
      <c r="H64" s="99">
        <f>+I14*(3800/12)</f>
        <v>10852166.666666668</v>
      </c>
      <c r="I64" s="239"/>
    </row>
    <row r="65" spans="2:9" ht="12.75">
      <c r="B65" s="79"/>
      <c r="D65" s="75" t="s">
        <v>116</v>
      </c>
      <c r="E65" s="64">
        <v>0</v>
      </c>
      <c r="F65" s="238"/>
      <c r="G65" s="104"/>
      <c r="H65" s="101"/>
      <c r="I65" s="240"/>
    </row>
    <row r="66" spans="4:9" ht="12.75" customHeight="1">
      <c r="D66" s="75" t="s">
        <v>114</v>
      </c>
      <c r="E66" s="64">
        <v>0</v>
      </c>
      <c r="F66" s="103"/>
      <c r="G66" s="104"/>
      <c r="H66" s="104"/>
      <c r="I66" s="105">
        <f aca="true" t="shared" si="1" ref="I66:I71">+E66</f>
        <v>0</v>
      </c>
    </row>
    <row r="67" spans="4:9" ht="12.75" customHeight="1" hidden="1">
      <c r="D67" s="75"/>
      <c r="E67" s="64">
        <v>0</v>
      </c>
      <c r="F67" s="103"/>
      <c r="G67" s="104"/>
      <c r="H67" s="104"/>
      <c r="I67" s="105">
        <f t="shared" si="1"/>
        <v>0</v>
      </c>
    </row>
    <row r="68" spans="4:9" ht="12.75" customHeight="1">
      <c r="D68" s="75" t="s">
        <v>145</v>
      </c>
      <c r="E68" s="64">
        <v>0</v>
      </c>
      <c r="F68" s="103"/>
      <c r="G68" s="104"/>
      <c r="H68" s="104"/>
      <c r="I68" s="105">
        <f t="shared" si="1"/>
        <v>0</v>
      </c>
    </row>
    <row r="69" spans="2:9" ht="12">
      <c r="B69" s="79"/>
      <c r="D69" s="75" t="s">
        <v>143</v>
      </c>
      <c r="E69" s="64">
        <v>0</v>
      </c>
      <c r="F69" s="103"/>
      <c r="G69" s="104"/>
      <c r="H69" s="104"/>
      <c r="I69" s="105">
        <f t="shared" si="1"/>
        <v>0</v>
      </c>
    </row>
    <row r="70" spans="2:11" ht="12.75">
      <c r="B70" s="79"/>
      <c r="D70" s="75" t="s">
        <v>115</v>
      </c>
      <c r="E70" s="64">
        <v>0</v>
      </c>
      <c r="F70" s="103"/>
      <c r="G70" s="104"/>
      <c r="H70" s="104"/>
      <c r="I70" s="105">
        <f t="shared" si="1"/>
        <v>0</v>
      </c>
      <c r="K70" s="106"/>
    </row>
    <row r="71" spans="2:9" ht="12.75">
      <c r="B71" s="79"/>
      <c r="D71" s="75" t="s">
        <v>144</v>
      </c>
      <c r="E71" s="64">
        <v>0</v>
      </c>
      <c r="F71" s="103"/>
      <c r="G71" s="104"/>
      <c r="H71" s="104"/>
      <c r="I71" s="105">
        <f t="shared" si="1"/>
        <v>0</v>
      </c>
    </row>
    <row r="72" spans="2:9" ht="12.75">
      <c r="B72" s="79"/>
      <c r="D72" s="107" t="s">
        <v>101</v>
      </c>
      <c r="E72" s="81" t="s">
        <v>57</v>
      </c>
      <c r="F72" s="108"/>
      <c r="G72" s="109"/>
      <c r="H72" s="109"/>
      <c r="I72" s="81">
        <f>SUM(I63:I71)</f>
        <v>0</v>
      </c>
    </row>
    <row r="73" spans="2:9" ht="12">
      <c r="B73" s="79"/>
      <c r="I73" s="110"/>
    </row>
    <row r="74" spans="2:9" ht="12.75">
      <c r="B74" s="79"/>
      <c r="D74" s="86" t="s">
        <v>39</v>
      </c>
      <c r="E74" s="87"/>
      <c r="F74" s="87"/>
      <c r="G74" s="113"/>
      <c r="H74" s="89"/>
      <c r="I74" s="114">
        <f>+IF((I59&gt;(I57+I72)),(I50-I72-I57),(I50-I59))</f>
        <v>0</v>
      </c>
    </row>
    <row r="75" spans="2:9" ht="12.75">
      <c r="B75" s="79"/>
      <c r="D75" s="115" t="s">
        <v>112</v>
      </c>
      <c r="E75" s="115"/>
      <c r="F75" s="115"/>
      <c r="G75" s="116"/>
      <c r="H75" s="116"/>
      <c r="I75" s="90">
        <f>E34</f>
        <v>0</v>
      </c>
    </row>
    <row r="76" spans="2:9" ht="12.75">
      <c r="B76" s="79"/>
      <c r="D76" s="86" t="s">
        <v>39</v>
      </c>
      <c r="E76" s="87"/>
      <c r="F76" s="87"/>
      <c r="G76" s="113"/>
      <c r="H76" s="89"/>
      <c r="I76" s="90">
        <f>+I74</f>
        <v>0</v>
      </c>
    </row>
    <row r="77" spans="2:9" ht="12.75" thickBot="1">
      <c r="B77" s="79"/>
      <c r="G77" s="52" t="s">
        <v>103</v>
      </c>
      <c r="I77" s="110"/>
    </row>
    <row r="78" spans="2:9" ht="14.25" customHeight="1" thickBot="1">
      <c r="B78" s="73">
        <v>5</v>
      </c>
      <c r="D78" s="117" t="s">
        <v>79</v>
      </c>
      <c r="E78" s="118"/>
      <c r="F78" s="119" t="s">
        <v>2</v>
      </c>
      <c r="G78" s="120">
        <f>+I76</f>
        <v>0</v>
      </c>
      <c r="H78" s="120">
        <f>+I76*0.25</f>
        <v>0</v>
      </c>
      <c r="I78" s="121">
        <f>IF(H78&gt;(240*I14),(240*I14),H78)</f>
        <v>0</v>
      </c>
    </row>
    <row r="79" ht="12">
      <c r="B79" s="79"/>
    </row>
    <row r="81" spans="4:12" ht="21" customHeight="1">
      <c r="D81" s="86" t="s">
        <v>40</v>
      </c>
      <c r="E81" s="87"/>
      <c r="F81" s="88"/>
      <c r="G81" s="89"/>
      <c r="H81" s="89"/>
      <c r="I81" s="122">
        <f>+(I50)-(IF((I60&lt;I59),I60,I59))</f>
        <v>0</v>
      </c>
      <c r="J81" s="241">
        <f>+IF((D104=0),0,"Actualice versión")</f>
        <v>0</v>
      </c>
      <c r="K81" s="241"/>
      <c r="L81" s="241"/>
    </row>
    <row r="82" spans="10:12" ht="11.25" customHeight="1">
      <c r="J82" s="241"/>
      <c r="K82" s="241"/>
      <c r="L82" s="241"/>
    </row>
    <row r="83" spans="9:12" ht="3" customHeight="1">
      <c r="I83" s="123"/>
      <c r="J83" s="241"/>
      <c r="K83" s="241"/>
      <c r="L83" s="241"/>
    </row>
    <row r="84" ht="2.25" customHeight="1">
      <c r="I84" s="124"/>
    </row>
    <row r="85" spans="4:10" ht="13.5">
      <c r="D85" s="142" t="s">
        <v>83</v>
      </c>
      <c r="E85" s="125"/>
      <c r="F85" s="126"/>
      <c r="G85" s="127"/>
      <c r="H85" s="127"/>
      <c r="I85" s="128">
        <f>ROUND((TABLA!H18*I14),-3)*D105</f>
        <v>0</v>
      </c>
      <c r="J85" s="182">
        <f>+IF((I85&gt;0),(I85/$E$39),0)</f>
        <v>0</v>
      </c>
    </row>
    <row r="86" spans="4:10" ht="13.5">
      <c r="D86" s="117" t="s">
        <v>84</v>
      </c>
      <c r="E86" s="129"/>
      <c r="F86" s="126"/>
      <c r="G86" s="127"/>
      <c r="H86" s="127"/>
      <c r="I86" s="128">
        <f>+ROUND((Tabprima!H18*I14),-3)</f>
        <v>0</v>
      </c>
      <c r="J86" s="182">
        <f>+IF((I86&gt;0),(I86/$E$34),0)</f>
        <v>0</v>
      </c>
    </row>
    <row r="87" spans="1:10" ht="13.5">
      <c r="A87" s="130">
        <v>43900</v>
      </c>
      <c r="D87" s="143" t="s">
        <v>88</v>
      </c>
      <c r="E87" s="131"/>
      <c r="F87" s="126"/>
      <c r="G87" s="127"/>
      <c r="H87" s="127"/>
      <c r="I87" s="128">
        <f>SUM(I85:I86)</f>
        <v>0</v>
      </c>
      <c r="J87" s="182" t="s">
        <v>57</v>
      </c>
    </row>
    <row r="88" ht="12">
      <c r="D88" s="132"/>
    </row>
    <row r="89" spans="5:10" ht="15" customHeight="1">
      <c r="E89" s="45"/>
      <c r="F89" s="45"/>
      <c r="G89" s="45"/>
      <c r="H89" s="45"/>
      <c r="I89" s="45"/>
      <c r="J89" s="45"/>
    </row>
    <row r="90" spans="4:13" s="92" customFormat="1" ht="15" customHeight="1">
      <c r="D90" s="235" t="s">
        <v>148</v>
      </c>
      <c r="E90" s="133"/>
      <c r="F90" s="126"/>
      <c r="G90" s="127"/>
      <c r="H90" s="127"/>
      <c r="I90" s="134"/>
      <c r="J90" s="96"/>
      <c r="K90" s="96"/>
      <c r="L90" s="96"/>
      <c r="M90" s="96"/>
    </row>
    <row r="91" spans="4:10" ht="15" customHeight="1">
      <c r="D91" s="236" t="s">
        <v>151</v>
      </c>
      <c r="E91" s="45"/>
      <c r="F91" s="45"/>
      <c r="G91" s="45"/>
      <c r="H91" s="45"/>
      <c r="I91" s="45"/>
      <c r="J91" s="45"/>
    </row>
    <row r="92" spans="4:5" ht="12.75" customHeight="1">
      <c r="D92" s="235" t="s">
        <v>149</v>
      </c>
      <c r="E92" s="49"/>
    </row>
    <row r="93" spans="4:5" ht="15" customHeight="1">
      <c r="D93" s="235" t="s">
        <v>150</v>
      </c>
      <c r="E93" s="49"/>
    </row>
    <row r="94" spans="4:5" ht="12">
      <c r="D94" s="48"/>
      <c r="E94" s="49"/>
    </row>
    <row r="95" spans="4:13" s="135" customFormat="1" ht="12">
      <c r="D95" s="48"/>
      <c r="E95" s="49"/>
      <c r="F95" s="52"/>
      <c r="G95" s="52"/>
      <c r="H95" s="52"/>
      <c r="I95" s="52"/>
      <c r="J95" s="52"/>
      <c r="K95" s="52"/>
      <c r="L95" s="52"/>
      <c r="M95" s="52"/>
    </row>
    <row r="96" spans="2:13" s="135" customFormat="1" ht="12">
      <c r="B96" s="136"/>
      <c r="D96" s="48"/>
      <c r="E96" s="49"/>
      <c r="F96" s="52"/>
      <c r="G96" s="52"/>
      <c r="H96" s="52"/>
      <c r="I96" s="52"/>
      <c r="J96" s="52"/>
      <c r="K96" s="52"/>
      <c r="L96" s="52"/>
      <c r="M96" s="52"/>
    </row>
    <row r="97" spans="2:13" s="135" customFormat="1" ht="12">
      <c r="B97" s="136"/>
      <c r="D97" s="48"/>
      <c r="E97" s="49"/>
      <c r="F97" s="52"/>
      <c r="G97" s="52"/>
      <c r="H97" s="52"/>
      <c r="I97" s="52"/>
      <c r="J97" s="52"/>
      <c r="K97" s="52"/>
      <c r="L97" s="52"/>
      <c r="M97" s="52"/>
    </row>
    <row r="98" spans="4:13" s="135" customFormat="1" ht="12">
      <c r="D98" s="50" t="s">
        <v>24</v>
      </c>
      <c r="E98" s="49"/>
      <c r="F98" s="52"/>
      <c r="G98" s="52"/>
      <c r="H98" s="52"/>
      <c r="I98" s="52"/>
      <c r="J98" s="52"/>
      <c r="K98" s="52"/>
      <c r="L98" s="52"/>
      <c r="M98" s="52"/>
    </row>
    <row r="99" spans="4:13" s="135" customFormat="1" ht="12">
      <c r="D99" s="196" t="s">
        <v>97</v>
      </c>
      <c r="E99" s="52"/>
      <c r="F99" s="52"/>
      <c r="G99" s="52"/>
      <c r="H99" s="52"/>
      <c r="I99" s="52"/>
      <c r="J99" s="52"/>
      <c r="K99" s="52"/>
      <c r="L99" s="52"/>
      <c r="M99" s="52"/>
    </row>
    <row r="100" spans="5:13" s="135" customFormat="1" ht="12">
      <c r="E100" s="52"/>
      <c r="F100" s="52"/>
      <c r="G100" s="52"/>
      <c r="H100" s="52"/>
      <c r="I100" s="52"/>
      <c r="J100" s="52"/>
      <c r="K100" s="52"/>
      <c r="L100" s="52"/>
      <c r="M100" s="52"/>
    </row>
    <row r="101" spans="4:13" s="135" customFormat="1" ht="12">
      <c r="D101" s="137"/>
      <c r="E101" s="52"/>
      <c r="F101" s="52"/>
      <c r="G101" s="52"/>
      <c r="H101" s="52"/>
      <c r="I101" s="52"/>
      <c r="J101" s="52"/>
      <c r="K101" s="52"/>
      <c r="L101" s="52"/>
      <c r="M101" s="52"/>
    </row>
    <row r="102" spans="4:13" s="135" customFormat="1" ht="12">
      <c r="D102" s="138">
        <f>+TODAY()</f>
        <v>44467</v>
      </c>
      <c r="E102" s="52"/>
      <c r="F102" s="52"/>
      <c r="G102" s="52"/>
      <c r="H102" s="52"/>
      <c r="I102" s="52"/>
      <c r="J102" s="52"/>
      <c r="K102" s="52"/>
      <c r="L102" s="52"/>
      <c r="M102" s="52"/>
    </row>
    <row r="103" spans="4:13" s="135" customFormat="1" ht="12">
      <c r="D103" s="138">
        <f>+A87</f>
        <v>43900</v>
      </c>
      <c r="E103" s="52"/>
      <c r="F103" s="52"/>
      <c r="G103" s="52"/>
      <c r="H103" s="52"/>
      <c r="I103" s="52"/>
      <c r="J103" s="52"/>
      <c r="K103" s="52"/>
      <c r="L103" s="52"/>
      <c r="M103" s="52"/>
    </row>
    <row r="104" spans="4:13" s="135" customFormat="1" ht="12">
      <c r="D104" s="137">
        <v>0</v>
      </c>
      <c r="E104" s="52"/>
      <c r="F104" s="52"/>
      <c r="G104" s="52"/>
      <c r="H104" s="52"/>
      <c r="I104" s="52"/>
      <c r="J104" s="52"/>
      <c r="K104" s="52"/>
      <c r="L104" s="52"/>
      <c r="M104" s="52"/>
    </row>
    <row r="105" spans="4:13" s="135" customFormat="1" ht="12">
      <c r="D105" s="137">
        <f>IF(D104=1,35000,1)</f>
        <v>1</v>
      </c>
      <c r="E105" s="52"/>
      <c r="F105" s="52"/>
      <c r="G105" s="52"/>
      <c r="H105" s="52"/>
      <c r="I105" s="52"/>
      <c r="J105" s="52"/>
      <c r="K105" s="52"/>
      <c r="L105" s="52"/>
      <c r="M105" s="52"/>
    </row>
    <row r="106" spans="2:13" s="135" customFormat="1" ht="12">
      <c r="B106" s="45"/>
      <c r="C106" s="45"/>
      <c r="E106" s="52"/>
      <c r="F106" s="52"/>
      <c r="G106" s="52"/>
      <c r="H106" s="52"/>
      <c r="I106" s="52"/>
      <c r="J106" s="52"/>
      <c r="K106" s="52"/>
      <c r="L106" s="52"/>
      <c r="M106" s="52"/>
    </row>
    <row r="107" spans="2:13" s="135" customFormat="1" ht="12">
      <c r="B107" s="139" t="s">
        <v>117</v>
      </c>
      <c r="C107" s="139"/>
      <c r="D107" s="45"/>
      <c r="E107" s="52"/>
      <c r="F107" s="52"/>
      <c r="G107" s="52"/>
      <c r="H107" s="52"/>
      <c r="I107" s="52"/>
      <c r="J107" s="52"/>
      <c r="K107" s="52"/>
      <c r="L107" s="52"/>
      <c r="M107" s="52"/>
    </row>
    <row r="108" spans="2:13" s="135" customFormat="1" ht="12">
      <c r="B108" s="139" t="s">
        <v>118</v>
      </c>
      <c r="C108" s="139"/>
      <c r="D108" s="45"/>
      <c r="E108" s="52"/>
      <c r="F108" s="52"/>
      <c r="G108" s="52"/>
      <c r="H108" s="52"/>
      <c r="I108" s="52"/>
      <c r="J108" s="52"/>
      <c r="K108" s="52"/>
      <c r="L108" s="52"/>
      <c r="M108" s="52"/>
    </row>
    <row r="109" spans="2:13" s="135" customFormat="1" ht="12">
      <c r="B109" s="139" t="s">
        <v>119</v>
      </c>
      <c r="C109" s="139"/>
      <c r="D109" s="45"/>
      <c r="E109" s="52"/>
      <c r="F109" s="52"/>
      <c r="G109" s="52"/>
      <c r="H109" s="52"/>
      <c r="I109" s="52"/>
      <c r="J109" s="52"/>
      <c r="K109" s="52"/>
      <c r="L109" s="52"/>
      <c r="M109" s="52"/>
    </row>
    <row r="110" spans="2:13" s="135" customFormat="1" ht="12">
      <c r="B110" s="139" t="s">
        <v>120</v>
      </c>
      <c r="C110" s="139"/>
      <c r="D110" s="45"/>
      <c r="E110" s="52"/>
      <c r="F110" s="52"/>
      <c r="G110" s="52"/>
      <c r="H110" s="52"/>
      <c r="I110" s="52"/>
      <c r="J110" s="52"/>
      <c r="K110" s="52"/>
      <c r="L110" s="52"/>
      <c r="M110" s="52"/>
    </row>
    <row r="111" spans="2:13" s="135" customFormat="1" ht="12">
      <c r="B111" s="139" t="s">
        <v>121</v>
      </c>
      <c r="C111" s="139"/>
      <c r="D111" s="45"/>
      <c r="E111" s="52"/>
      <c r="F111" s="52"/>
      <c r="G111" s="52"/>
      <c r="H111" s="52"/>
      <c r="I111" s="52"/>
      <c r="J111" s="52"/>
      <c r="K111" s="52"/>
      <c r="L111" s="52"/>
      <c r="M111" s="52"/>
    </row>
    <row r="112" spans="2:13" s="135" customFormat="1" ht="12">
      <c r="B112" s="139" t="s">
        <v>122</v>
      </c>
      <c r="C112" s="139"/>
      <c r="D112" s="45"/>
      <c r="E112" s="52"/>
      <c r="F112" s="52"/>
      <c r="G112" s="52"/>
      <c r="H112" s="52"/>
      <c r="I112" s="52"/>
      <c r="J112" s="52"/>
      <c r="K112" s="52"/>
      <c r="L112" s="52"/>
      <c r="M112" s="52"/>
    </row>
    <row r="113" spans="2:13" s="135" customFormat="1" ht="12">
      <c r="B113" s="139" t="s">
        <v>123</v>
      </c>
      <c r="C113" s="139"/>
      <c r="D113" s="45"/>
      <c r="E113" s="52"/>
      <c r="F113" s="52"/>
      <c r="G113" s="52"/>
      <c r="H113" s="52"/>
      <c r="I113" s="52"/>
      <c r="J113" s="52"/>
      <c r="K113" s="52"/>
      <c r="L113" s="52"/>
      <c r="M113" s="52"/>
    </row>
    <row r="114" spans="2:13" s="135" customFormat="1" ht="12">
      <c r="B114" s="139" t="s">
        <v>124</v>
      </c>
      <c r="C114" s="139"/>
      <c r="D114" s="45"/>
      <c r="E114" s="52"/>
      <c r="F114" s="52"/>
      <c r="G114" s="52"/>
      <c r="H114" s="52"/>
      <c r="I114" s="52"/>
      <c r="J114" s="52"/>
      <c r="K114" s="52"/>
      <c r="L114" s="52"/>
      <c r="M114" s="52"/>
    </row>
    <row r="115" spans="2:13" s="135" customFormat="1" ht="12">
      <c r="B115" s="139" t="s">
        <v>125</v>
      </c>
      <c r="C115" s="139"/>
      <c r="D115" s="45"/>
      <c r="E115" s="52"/>
      <c r="F115" s="52"/>
      <c r="G115" s="52"/>
      <c r="H115" s="52"/>
      <c r="I115" s="52"/>
      <c r="J115" s="52"/>
      <c r="K115" s="52"/>
      <c r="L115" s="52"/>
      <c r="M115" s="52"/>
    </row>
    <row r="116" spans="2:13" s="135" customFormat="1" ht="12">
      <c r="B116" s="139" t="s">
        <v>126</v>
      </c>
      <c r="C116" s="139"/>
      <c r="D116" s="45"/>
      <c r="E116" s="52"/>
      <c r="F116" s="52"/>
      <c r="G116" s="52"/>
      <c r="H116" s="52"/>
      <c r="I116" s="52"/>
      <c r="J116" s="52"/>
      <c r="K116" s="52"/>
      <c r="L116" s="52"/>
      <c r="M116" s="52"/>
    </row>
    <row r="117" spans="2:13" s="135" customFormat="1" ht="12">
      <c r="B117" s="139" t="s">
        <v>127</v>
      </c>
      <c r="C117" s="139"/>
      <c r="D117" s="45"/>
      <c r="E117" s="52"/>
      <c r="F117" s="52"/>
      <c r="G117" s="52"/>
      <c r="H117" s="52"/>
      <c r="I117" s="52"/>
      <c r="J117" s="52"/>
      <c r="K117" s="52"/>
      <c r="L117" s="52"/>
      <c r="M117" s="52"/>
    </row>
    <row r="118" spans="2:13" s="135" customFormat="1" ht="12">
      <c r="B118" s="139" t="s">
        <v>128</v>
      </c>
      <c r="C118" s="139"/>
      <c r="D118" s="45"/>
      <c r="E118" s="52"/>
      <c r="F118" s="52"/>
      <c r="G118" s="52"/>
      <c r="H118" s="52"/>
      <c r="I118" s="52"/>
      <c r="J118" s="52"/>
      <c r="K118" s="52"/>
      <c r="L118" s="52"/>
      <c r="M118" s="52"/>
    </row>
    <row r="119" spans="2:13" s="135" customFormat="1" ht="12">
      <c r="B119" s="45"/>
      <c r="C119" s="45"/>
      <c r="D119" s="45"/>
      <c r="E119" s="52"/>
      <c r="F119" s="52"/>
      <c r="G119" s="52"/>
      <c r="H119" s="52"/>
      <c r="I119" s="52"/>
      <c r="J119" s="52"/>
      <c r="K119" s="52"/>
      <c r="L119" s="52"/>
      <c r="M119" s="52"/>
    </row>
    <row r="120" spans="5:13" s="135" customFormat="1" ht="12">
      <c r="E120" s="52"/>
      <c r="F120" s="52"/>
      <c r="G120" s="52"/>
      <c r="H120" s="52"/>
      <c r="I120" s="52"/>
      <c r="J120" s="52"/>
      <c r="K120" s="52"/>
      <c r="L120" s="52"/>
      <c r="M120" s="52"/>
    </row>
    <row r="121" spans="5:13" s="135" customFormat="1" ht="12">
      <c r="E121" s="52"/>
      <c r="F121" s="52"/>
      <c r="G121" s="52"/>
      <c r="H121" s="52"/>
      <c r="I121" s="52"/>
      <c r="J121" s="52"/>
      <c r="K121" s="52"/>
      <c r="L121" s="52"/>
      <c r="M121" s="52"/>
    </row>
    <row r="122" spans="5:13" s="135" customFormat="1" ht="12">
      <c r="E122" s="52"/>
      <c r="F122" s="52"/>
      <c r="G122" s="52"/>
      <c r="H122" s="52"/>
      <c r="I122" s="52"/>
      <c r="J122" s="52"/>
      <c r="K122" s="52"/>
      <c r="L122" s="52"/>
      <c r="M122" s="52"/>
    </row>
    <row r="123" spans="5:13" s="135" customFormat="1" ht="12">
      <c r="E123" s="52"/>
      <c r="F123" s="52"/>
      <c r="G123" s="52"/>
      <c r="H123" s="52"/>
      <c r="I123" s="52"/>
      <c r="J123" s="52"/>
      <c r="K123" s="52"/>
      <c r="L123" s="52"/>
      <c r="M123" s="52"/>
    </row>
    <row r="124" spans="5:13" s="135" customFormat="1" ht="12">
      <c r="E124" s="52"/>
      <c r="F124" s="52"/>
      <c r="G124" s="52"/>
      <c r="H124" s="52"/>
      <c r="I124" s="52"/>
      <c r="J124" s="52"/>
      <c r="K124" s="52"/>
      <c r="L124" s="52"/>
      <c r="M124" s="52"/>
    </row>
    <row r="125" spans="5:13" s="135" customFormat="1" ht="12">
      <c r="E125" s="52"/>
      <c r="F125" s="52"/>
      <c r="G125" s="52"/>
      <c r="H125" s="52"/>
      <c r="I125" s="52"/>
      <c r="J125" s="52"/>
      <c r="K125" s="52"/>
      <c r="L125" s="52"/>
      <c r="M125" s="52"/>
    </row>
    <row r="126" spans="5:13" s="135" customFormat="1" ht="12">
      <c r="E126" s="52"/>
      <c r="F126" s="52"/>
      <c r="G126" s="52"/>
      <c r="H126" s="52"/>
      <c r="I126" s="52"/>
      <c r="J126" s="52"/>
      <c r="K126" s="52"/>
      <c r="L126" s="52"/>
      <c r="M126" s="52"/>
    </row>
    <row r="127" spans="5:13" s="135" customFormat="1" ht="12">
      <c r="E127" s="52"/>
      <c r="F127" s="52"/>
      <c r="G127" s="52"/>
      <c r="H127" s="52"/>
      <c r="I127" s="52"/>
      <c r="J127" s="52"/>
      <c r="K127" s="52"/>
      <c r="L127" s="52"/>
      <c r="M127" s="52"/>
    </row>
    <row r="128" spans="5:13" s="135" customFormat="1" ht="12">
      <c r="E128" s="52"/>
      <c r="F128" s="52"/>
      <c r="G128" s="52"/>
      <c r="H128" s="52"/>
      <c r="I128" s="52"/>
      <c r="J128" s="52"/>
      <c r="K128" s="52"/>
      <c r="L128" s="52"/>
      <c r="M128" s="52"/>
    </row>
    <row r="129" spans="5:13" s="135" customFormat="1" ht="12">
      <c r="E129" s="52"/>
      <c r="F129" s="52"/>
      <c r="G129" s="52"/>
      <c r="H129" s="52"/>
      <c r="I129" s="52"/>
      <c r="J129" s="52"/>
      <c r="K129" s="52"/>
      <c r="L129" s="52"/>
      <c r="M129" s="52"/>
    </row>
    <row r="130" spans="5:13" s="135" customFormat="1" ht="12">
      <c r="E130" s="52"/>
      <c r="F130" s="52"/>
      <c r="G130" s="52"/>
      <c r="H130" s="52"/>
      <c r="I130" s="52"/>
      <c r="J130" s="52"/>
      <c r="K130" s="52"/>
      <c r="L130" s="52"/>
      <c r="M130" s="52"/>
    </row>
    <row r="131" spans="5:13" s="135" customFormat="1" ht="12">
      <c r="E131" s="52"/>
      <c r="F131" s="52"/>
      <c r="G131" s="52"/>
      <c r="H131" s="52"/>
      <c r="I131" s="52"/>
      <c r="J131" s="52"/>
      <c r="K131" s="52"/>
      <c r="L131" s="52"/>
      <c r="M131" s="52"/>
    </row>
    <row r="132" spans="5:13" s="135" customFormat="1" ht="12">
      <c r="E132" s="52"/>
      <c r="F132" s="52"/>
      <c r="G132" s="52"/>
      <c r="H132" s="52"/>
      <c r="I132" s="52"/>
      <c r="J132" s="52"/>
      <c r="K132" s="52"/>
      <c r="L132" s="52"/>
      <c r="M132" s="52"/>
    </row>
    <row r="133" spans="5:13" s="135" customFormat="1" ht="12">
      <c r="E133" s="52"/>
      <c r="F133" s="52"/>
      <c r="G133" s="52"/>
      <c r="H133" s="52"/>
      <c r="I133" s="52"/>
      <c r="J133" s="52"/>
      <c r="K133" s="52"/>
      <c r="L133" s="52"/>
      <c r="M133" s="52"/>
    </row>
    <row r="134" spans="5:13" s="135" customFormat="1" ht="12">
      <c r="E134" s="52"/>
      <c r="F134" s="52"/>
      <c r="G134" s="52"/>
      <c r="H134" s="52"/>
      <c r="I134" s="52"/>
      <c r="J134" s="52"/>
      <c r="K134" s="52"/>
      <c r="L134" s="52"/>
      <c r="M134" s="52"/>
    </row>
    <row r="135" spans="5:13" s="135" customFormat="1" ht="12">
      <c r="E135" s="52"/>
      <c r="F135" s="52"/>
      <c r="G135" s="52"/>
      <c r="H135" s="52"/>
      <c r="I135" s="52"/>
      <c r="J135" s="52"/>
      <c r="K135" s="52"/>
      <c r="L135" s="52"/>
      <c r="M135" s="52"/>
    </row>
    <row r="278" ht="12">
      <c r="D278" s="62">
        <f ca="1">TODAY()</f>
        <v>44467</v>
      </c>
    </row>
    <row r="279" ht="12">
      <c r="D279" s="62">
        <f>+A87</f>
        <v>43900</v>
      </c>
    </row>
    <row r="280" ht="12">
      <c r="D280" s="45">
        <f>IF(D279&lt;D278,1,"")</f>
        <v>1</v>
      </c>
    </row>
  </sheetData>
  <sheetProtection password="CAE7" sheet="1"/>
  <mergeCells count="10">
    <mergeCell ref="F63:F65"/>
    <mergeCell ref="I63:I65"/>
    <mergeCell ref="J81:L83"/>
    <mergeCell ref="K8:N13"/>
    <mergeCell ref="D55:D56"/>
    <mergeCell ref="E55:E56"/>
    <mergeCell ref="F55:F56"/>
    <mergeCell ref="G17:H17"/>
    <mergeCell ref="I55:I56"/>
    <mergeCell ref="J55:N56"/>
  </mergeCells>
  <dataValidations count="10">
    <dataValidation allowBlank="1" showInputMessage="1" showErrorMessage="1" prompt="Recuerde que estos pagos que efectue el empleador por concepto de alimentación  del trabajador  o de su conyugue co compañero (a) permanente, sus hijos o su padres son ingresos no constitutivos de renta" sqref="E48"/>
    <dataValidation type="date" allowBlank="1" showInputMessage="1" showErrorMessage="1" sqref="E92:E98">
      <formula1>36526</formula1>
      <formula2>66111</formula2>
    </dataValidation>
    <dataValidation allowBlank="1" showInputMessage="1" showErrorMessage="1" prompt="Digite la totalidad de los ingresos recibidos en el año anterior" sqref="I9"/>
    <dataValidation allowBlank="1" showInputMessage="1" showErrorMessage="1" promptTitle="Incluya" prompt="Pagos directos o indirectos&#10;En dinero o en especie&#10;Sean o no factor salarial&#10;Art. 127 y 128 del CST&#10;&#10;Recuerde que en el mes que se pague prima legal, esta se debe liquidar de forma independiente.&#10;" sqref="D20:E37"/>
    <dataValidation type="list" allowBlank="1" showInputMessage="1" showErrorMessage="1" prompt="Seleccione  el mes del cálculo" sqref="I11">
      <formula1>$B$107:$B$118</formula1>
    </dataValidation>
    <dataValidation type="list" allowBlank="1" showInputMessage="1" showErrorMessage="1" sqref="D14">
      <formula1>$F$8:$F$9</formula1>
    </dataValidation>
    <dataValidation type="whole" allowBlank="1" showInputMessage="1" showErrorMessage="1" sqref="E53:E54">
      <formula1>0</formula1>
      <formula2>350000000</formula2>
    </dataValidation>
    <dataValidation allowBlank="1" showInputMessage="1" showErrorMessage="1" promptTitle="Aporte superior" prompt="El aporte no puede ser superior al 4% de los ingresos del trabajador" errorTitle="Aportes superiores" error="El aporte no puede ser superior al 4% de los ingresos del trabajador" sqref="E47"/>
    <dataValidation allowBlank="1" showInputMessage="1" showErrorMessage="1" prompt="Digite el valor limitado al 50% del salario" sqref="E68"/>
    <dataValidation allowBlank="1" showInputMessage="1" showErrorMessage="1" prompt="Si tiene tiene derecho a deducción por dependientes, digite un valor superior a 2 millones de pesos,  el aplicativo realizá y calculará el valor de deducir." sqref="E55:E56"/>
  </dataValidations>
  <hyperlinks>
    <hyperlink ref="D98" r:id="rId1" display="www.consultorcontable.com"/>
    <hyperlink ref="D99" r:id="rId2" display="http://www.consultorcontable.com/retenci%C3%B3n-salarios/"/>
    <hyperlink ref="D91" r:id="rId3" display="consultorcontable1@gmail.com"/>
  </hyperlinks>
  <printOptions/>
  <pageMargins left="0.1968503937007874" right="0.1968503937007874" top="0.3937007874015748" bottom="0.3937007874015748" header="0" footer="0"/>
  <pageSetup horizontalDpi="600" verticalDpi="600" orientation="landscape" scale="65" r:id="rId7"/>
  <drawing r:id="rId6"/>
  <legacyDrawing r:id="rId5"/>
</worksheet>
</file>

<file path=xl/worksheets/sheet2.xml><?xml version="1.0" encoding="utf-8"?>
<worksheet xmlns="http://schemas.openxmlformats.org/spreadsheetml/2006/main" xmlns:r="http://schemas.openxmlformats.org/officeDocument/2006/relationships">
  <sheetPr codeName="Hoja6">
    <pageSetUpPr fitToPage="1"/>
  </sheetPr>
  <dimension ref="B3:G87"/>
  <sheetViews>
    <sheetView showGridLines="0" workbookViewId="0" topLeftCell="A1">
      <selection activeCell="D11" sqref="D11"/>
    </sheetView>
  </sheetViews>
  <sheetFormatPr defaultColWidth="0" defaultRowHeight="12.75" zeroHeight="1"/>
  <cols>
    <col min="1" max="1" width="1.57421875" style="145" customWidth="1"/>
    <col min="2" max="2" width="4.00390625" style="145" customWidth="1"/>
    <col min="3" max="3" width="1.57421875" style="145" customWidth="1"/>
    <col min="4" max="4" width="76.57421875" style="145" customWidth="1"/>
    <col min="5" max="5" width="16.28125" style="146" customWidth="1"/>
    <col min="6" max="6" width="21.421875" style="146" customWidth="1"/>
    <col min="7" max="7" width="13.00390625" style="146" bestFit="1" customWidth="1"/>
    <col min="8" max="16384" width="0" style="145" hidden="1" customWidth="1"/>
  </cols>
  <sheetData>
    <row r="1" ht="5.25" customHeight="1"/>
    <row r="2" ht="8.25" customHeight="1"/>
    <row r="3" spans="4:6" ht="16.5" customHeight="1">
      <c r="D3" s="147">
        <f>+PROC1!E3</f>
        <v>0</v>
      </c>
      <c r="E3" s="145"/>
      <c r="F3" s="148"/>
    </row>
    <row r="4" spans="4:6" ht="6.75" customHeight="1">
      <c r="D4" s="149"/>
      <c r="E4" s="150"/>
      <c r="F4" s="150"/>
    </row>
    <row r="5" spans="2:6" ht="18">
      <c r="B5" s="151" t="str">
        <f>+PROC1!E5</f>
        <v>Procedimiento No. 1</v>
      </c>
      <c r="C5" s="152"/>
      <c r="D5" s="152"/>
      <c r="E5" s="145"/>
      <c r="F5" s="153"/>
    </row>
    <row r="6" spans="5:6" ht="12.75">
      <c r="E6" s="145"/>
      <c r="F6" s="154"/>
    </row>
    <row r="7" ht="12.75">
      <c r="D7" s="145" t="s">
        <v>25</v>
      </c>
    </row>
    <row r="8" spans="4:6" ht="12.75">
      <c r="D8" s="155" t="str">
        <f>+PROC1!D11</f>
        <v>Digite el nombre de la empresa</v>
      </c>
      <c r="E8" s="156" t="str">
        <f>+PROC1!E11</f>
        <v>Mes</v>
      </c>
      <c r="F8" s="157" t="str">
        <f>+PROC1!I11</f>
        <v>Enero de 2019</v>
      </c>
    </row>
    <row r="9" ht="14.25">
      <c r="D9" s="195" t="str">
        <f>+PROC1!D12</f>
        <v>Digite nombre del trabajador</v>
      </c>
    </row>
    <row r="10" spans="4:6" ht="14.25">
      <c r="D10" s="195" t="str">
        <f>+PROC1!D13</f>
        <v>CC. </v>
      </c>
      <c r="E10" s="158" t="str">
        <f>+PROC1!E13</f>
        <v>UVT</v>
      </c>
      <c r="F10" s="156" t="str">
        <f>+PROC1!I13</f>
        <v>Valor UVT </v>
      </c>
    </row>
    <row r="11" spans="4:6" ht="12.75">
      <c r="D11" s="159" t="str">
        <f>+PROC1!D14</f>
        <v>Declarante</v>
      </c>
      <c r="E11" s="160" t="str">
        <f>+PROC1!E14</f>
        <v>Año 2019</v>
      </c>
      <c r="F11" s="157">
        <f>+PROC1!I14</f>
        <v>34270</v>
      </c>
    </row>
    <row r="12" spans="5:6" ht="12.75">
      <c r="E12" s="160" t="str">
        <f>+PROC1!E15</f>
        <v>Año 2018</v>
      </c>
      <c r="F12" s="157">
        <f>+PROC1!I15</f>
        <v>33156</v>
      </c>
    </row>
    <row r="13" ht="12.75">
      <c r="D13" s="161" t="s">
        <v>71</v>
      </c>
    </row>
    <row r="14" spans="4:6" ht="15.75" thickBot="1">
      <c r="D14" s="188" t="str">
        <f>+PROC1!D17</f>
        <v>Conceptos</v>
      </c>
      <c r="E14" s="190" t="str">
        <f>+PROC1!E17</f>
        <v>Datos</v>
      </c>
      <c r="F14" s="189" t="str">
        <f>+PROC1!I17</f>
        <v>Depuración</v>
      </c>
    </row>
    <row r="15" spans="2:4" ht="16.5" thickBot="1">
      <c r="B15" s="162">
        <v>1</v>
      </c>
      <c r="C15" s="163"/>
      <c r="D15" s="164" t="str">
        <f>+PROC1!D19</f>
        <v>Total pagos laborales en el mes</v>
      </c>
    </row>
    <row r="16" spans="4:6" ht="12.75">
      <c r="D16" s="165" t="str">
        <f>+PROC1!D20</f>
        <v>Sueldo</v>
      </c>
      <c r="E16" s="166">
        <f>+PROC1!E20</f>
        <v>0</v>
      </c>
      <c r="F16" s="166">
        <f>+PROC1!I20</f>
        <v>0</v>
      </c>
    </row>
    <row r="17" spans="4:6" ht="12.75">
      <c r="D17" s="165" t="str">
        <f>+PROC1!D21</f>
        <v>Auxilio de transporte</v>
      </c>
      <c r="E17" s="166">
        <f>+PROC1!E21</f>
        <v>0</v>
      </c>
      <c r="F17" s="166">
        <f>+PROC1!I21</f>
        <v>0</v>
      </c>
    </row>
    <row r="18" spans="4:6" ht="12.75">
      <c r="D18" s="165" t="str">
        <f>+PROC1!D22</f>
        <v>Comisiones</v>
      </c>
      <c r="E18" s="166">
        <f>+PROC1!E22</f>
        <v>0</v>
      </c>
      <c r="F18" s="166">
        <f>+PROC1!I22</f>
        <v>0</v>
      </c>
    </row>
    <row r="19" spans="4:6" ht="12.75">
      <c r="D19" s="165" t="str">
        <f>+PROC1!D23</f>
        <v>Horas extras</v>
      </c>
      <c r="E19" s="166">
        <f>+PROC1!E23</f>
        <v>0</v>
      </c>
      <c r="F19" s="166">
        <f>+PROC1!I23</f>
        <v>0</v>
      </c>
    </row>
    <row r="20" spans="4:6" ht="12.75">
      <c r="D20" s="165" t="str">
        <f>+PROC1!D24</f>
        <v>Recargos nocturnos y dominicales</v>
      </c>
      <c r="E20" s="166">
        <f>+PROC1!E24</f>
        <v>0</v>
      </c>
      <c r="F20" s="166">
        <f>+PROC1!I24</f>
        <v>0</v>
      </c>
    </row>
    <row r="21" spans="4:6" ht="12.75">
      <c r="D21" s="165" t="str">
        <f>+PROC1!D25</f>
        <v>Otros auxilios (movilidad, alimentación, etc.)</v>
      </c>
      <c r="E21" s="166">
        <f>+PROC1!E25</f>
        <v>0</v>
      </c>
      <c r="F21" s="166">
        <f>+PROC1!I25</f>
        <v>0</v>
      </c>
    </row>
    <row r="22" spans="4:6" ht="12.75">
      <c r="D22" s="165" t="str">
        <f>+PROC1!D26</f>
        <v>Bonificaciones</v>
      </c>
      <c r="E22" s="166">
        <f>+PROC1!E26</f>
        <v>0</v>
      </c>
      <c r="F22" s="166">
        <f>+PROC1!I26</f>
        <v>0</v>
      </c>
    </row>
    <row r="23" spans="4:6" ht="12" hidden="1">
      <c r="D23" s="165" t="str">
        <f>+PROC1!D27</f>
        <v>Aportes voluntarios del empleador a fondos de pensiones  (art 126-1 ET)</v>
      </c>
      <c r="E23" s="166">
        <f>+PROC1!E27</f>
        <v>0</v>
      </c>
      <c r="F23" s="166">
        <f>+PROC1!I27</f>
        <v>0</v>
      </c>
    </row>
    <row r="24" spans="4:6" ht="12.75">
      <c r="D24" s="165" t="str">
        <f>+PROC1!D28</f>
        <v>Viáticos</v>
      </c>
      <c r="E24" s="166">
        <f>+PROC1!E28</f>
        <v>0</v>
      </c>
      <c r="F24" s="166">
        <f>+PROC1!I28</f>
        <v>0</v>
      </c>
    </row>
    <row r="25" spans="4:6" ht="12.75">
      <c r="D25" s="165" t="str">
        <f>+PROC1!D29</f>
        <v>Exceso de las 41 UVT por pagos por concepto de alimentación (art 387-1 ET)</v>
      </c>
      <c r="E25" s="166">
        <f>+PROC1!E29</f>
        <v>0</v>
      </c>
      <c r="F25" s="166">
        <f>+PROC1!I29</f>
        <v>0</v>
      </c>
    </row>
    <row r="26" spans="4:6" ht="12.75">
      <c r="D26" s="165" t="str">
        <f>+PROC1!D30</f>
        <v>Incapacidades</v>
      </c>
      <c r="E26" s="166">
        <f>+PROC1!E30</f>
        <v>0</v>
      </c>
      <c r="F26" s="166">
        <f>+PROC1!I30</f>
        <v>0</v>
      </c>
    </row>
    <row r="27" spans="4:6" ht="12.75">
      <c r="D27" s="165" t="str">
        <f>+PROC1!D31</f>
        <v>Licencia de maternidad</v>
      </c>
      <c r="E27" s="166">
        <f>+PROC1!E31</f>
        <v>0</v>
      </c>
      <c r="F27" s="166">
        <f>+PROC1!I31</f>
        <v>0</v>
      </c>
    </row>
    <row r="28" spans="4:6" ht="12.75">
      <c r="D28" s="165" t="str">
        <f>+PROC1!D32</f>
        <v>Cesantías (no se tienen en cuenta para efectos de la retención en la fuente)</v>
      </c>
      <c r="E28" s="166">
        <f>+PROC1!E32</f>
        <v>0</v>
      </c>
      <c r="F28" s="166">
        <f>+PROC1!I32</f>
        <v>0</v>
      </c>
    </row>
    <row r="29" spans="4:6" ht="12.75">
      <c r="D29" s="165" t="str">
        <f>+PROC1!D33</f>
        <v>Intereses sobre cesantías  (no se tienen en cuenta para efectos de la retención en la fuente)</v>
      </c>
      <c r="E29" s="166">
        <f>+PROC1!E33</f>
        <v>0</v>
      </c>
      <c r="F29" s="166">
        <f>+PROC1!I33</f>
        <v>0</v>
      </c>
    </row>
    <row r="30" spans="4:6" ht="12.75">
      <c r="D30" s="165" t="str">
        <f>+PROC1!D34</f>
        <v>Prima</v>
      </c>
      <c r="E30" s="166">
        <f>+PROC1!E34</f>
        <v>0</v>
      </c>
      <c r="F30" s="166">
        <f>+PROC1!I34</f>
        <v>0</v>
      </c>
    </row>
    <row r="31" spans="4:6" ht="12.75">
      <c r="D31" s="165" t="str">
        <f>+PROC1!D35</f>
        <v>Vacaciones</v>
      </c>
      <c r="E31" s="166">
        <f>+PROC1!E35</f>
        <v>0</v>
      </c>
      <c r="F31" s="166">
        <f>+PROC1!I35</f>
        <v>0</v>
      </c>
    </row>
    <row r="32" spans="4:6" ht="12.75">
      <c r="D32" s="165" t="str">
        <f>+PROC1!D36</f>
        <v>Primas extralegales</v>
      </c>
      <c r="E32" s="166">
        <f>+PROC1!E36</f>
        <v>0</v>
      </c>
      <c r="F32" s="166">
        <f>+PROC1!I36</f>
        <v>0</v>
      </c>
    </row>
    <row r="33" spans="2:6" ht="12.75">
      <c r="B33" s="167"/>
      <c r="D33" s="165" t="str">
        <f>+PROC1!D37</f>
        <v>Otros ingresos laborales- Bonos, cheques electrónicos, pagos indirectos</v>
      </c>
      <c r="E33" s="166">
        <f>+PROC1!E37</f>
        <v>0</v>
      </c>
      <c r="F33" s="166">
        <f>+PROC1!I37</f>
        <v>0</v>
      </c>
    </row>
    <row r="34" spans="2:6" ht="12.75">
      <c r="B34" s="167"/>
      <c r="D34" s="168" t="str">
        <f>+PROC1!D38</f>
        <v>Total Ingresos mes </v>
      </c>
      <c r="E34" s="169">
        <f>+PROC1!E38</f>
        <v>0</v>
      </c>
      <c r="F34" s="169">
        <f>+PROC1!I38</f>
        <v>0</v>
      </c>
    </row>
    <row r="35" spans="2:6" ht="12.75">
      <c r="B35" s="167"/>
      <c r="F35" s="146" t="s">
        <v>57</v>
      </c>
    </row>
    <row r="36" spans="2:6" ht="12.75">
      <c r="B36" s="167"/>
      <c r="D36" s="170" t="s">
        <v>37</v>
      </c>
      <c r="E36" s="171"/>
      <c r="F36" s="169">
        <f>+PROC1!I41</f>
        <v>0</v>
      </c>
    </row>
    <row r="37" spans="2:6" ht="13.5" thickBot="1">
      <c r="B37" s="167"/>
      <c r="D37" s="172"/>
      <c r="E37" s="172"/>
      <c r="F37" s="173"/>
    </row>
    <row r="38" spans="2:4" ht="16.5" thickBot="1">
      <c r="B38" s="162">
        <v>2</v>
      </c>
      <c r="D38" s="174" t="str">
        <f>+PROC1!D43</f>
        <v>Menos ingresos no constitutivos de renta ni ganancia ocasional</v>
      </c>
    </row>
    <row r="39" spans="2:6" ht="15" customHeight="1">
      <c r="B39" s="175"/>
      <c r="D39" s="165" t="str">
        <f>+PROC1!D44</f>
        <v>Aportes obligatorios a Fondos de Pensiones (art. 55 ET)</v>
      </c>
      <c r="E39" s="166">
        <f>+PROC1!E44</f>
        <v>0</v>
      </c>
      <c r="F39" s="166">
        <f>+PROC1!I44</f>
        <v>0</v>
      </c>
    </row>
    <row r="40" spans="2:6" ht="15.75">
      <c r="B40" s="175"/>
      <c r="D40" s="165" t="str">
        <f>+PROC1!D45</f>
        <v>Fondo de Solidaridad Pensional</v>
      </c>
      <c r="E40" s="166">
        <f>+PROC1!E45</f>
        <v>0</v>
      </c>
      <c r="F40" s="166">
        <f>+PROC1!I45</f>
        <v>0</v>
      </c>
    </row>
    <row r="41" spans="2:6" ht="15.75">
      <c r="B41" s="175"/>
      <c r="D41" s="165" t="str">
        <f>+PROC1!D46</f>
        <v>Aportes voluntarios a fondos de pensiones obligatorios (Régimen ahorro individual) (Art. 55 ET)</v>
      </c>
      <c r="E41" s="166">
        <f>+PROC1!E46</f>
        <v>0</v>
      </c>
      <c r="F41" s="166">
        <f>+PROC1!I46</f>
        <v>0</v>
      </c>
    </row>
    <row r="42" spans="2:6" ht="15.75">
      <c r="B42" s="175"/>
      <c r="D42" s="165" t="str">
        <f>+PROC1!D47</f>
        <v>Aportes obligatorios al sistema de salud (art. 56 ET)</v>
      </c>
      <c r="E42" s="166">
        <f>+PROC1!E47</f>
        <v>0</v>
      </c>
      <c r="F42" s="166">
        <f>+PROC1!I47</f>
        <v>0</v>
      </c>
    </row>
    <row r="43" spans="2:6" ht="12.75">
      <c r="B43" s="167"/>
      <c r="D43" s="168" t="str">
        <f>+PROC1!D48</f>
        <v>Total ingresos no constitutivos de renta ni ganancia ocasional</v>
      </c>
      <c r="E43" s="169">
        <f>+PROC1!E48</f>
        <v>0</v>
      </c>
      <c r="F43" s="176">
        <f>+PROC1!I48</f>
        <v>0</v>
      </c>
    </row>
    <row r="44" ht="12.75">
      <c r="B44" s="167"/>
    </row>
    <row r="45" spans="2:6" ht="12.75">
      <c r="B45" s="167"/>
      <c r="D45" s="170" t="str">
        <f>+PROC1!D50</f>
        <v>Subtotal  (B)</v>
      </c>
      <c r="E45" s="171"/>
      <c r="F45" s="169">
        <f>+PROC1!I50</f>
        <v>0</v>
      </c>
    </row>
    <row r="46" ht="13.5" thickBot="1">
      <c r="B46" s="167"/>
    </row>
    <row r="47" spans="2:4" ht="16.5" thickBot="1">
      <c r="B47" s="162">
        <v>3</v>
      </c>
      <c r="D47" s="174" t="s">
        <v>72</v>
      </c>
    </row>
    <row r="48" spans="2:6" ht="12.75">
      <c r="B48" s="167"/>
      <c r="D48" s="165" t="str">
        <f>+PROC1!D53</f>
        <v>Intereses por prestamos de vivienda (promedio año anterior o los meses correspondientes)</v>
      </c>
      <c r="E48" s="166">
        <f>+PROC1!E53</f>
        <v>0</v>
      </c>
      <c r="F48" s="166">
        <f>+PROC1!I53</f>
        <v>0</v>
      </c>
    </row>
    <row r="49" spans="2:6" ht="12.75">
      <c r="B49" s="167"/>
      <c r="D49" s="165" t="str">
        <f>+PROC1!D54</f>
        <v>Pagos por salud prepagada, Plan complementario de salud, o seguros de salud (art 387 ET)- Promedio del año anterior</v>
      </c>
      <c r="E49" s="166">
        <f>+PROC1!E54</f>
        <v>0</v>
      </c>
      <c r="F49" s="166">
        <f>+PROC1!I54</f>
        <v>0</v>
      </c>
    </row>
    <row r="50" spans="2:6" ht="12.75">
      <c r="B50" s="167"/>
      <c r="D50" s="165" t="str">
        <f>+PROC1!D55</f>
        <v>Por dependientes (Art 387 ET)</v>
      </c>
      <c r="E50" s="166">
        <f>+PROC1!E55</f>
        <v>0</v>
      </c>
      <c r="F50" s="166">
        <f>+PROC1!I55</f>
        <v>0</v>
      </c>
    </row>
    <row r="51" spans="2:6" ht="12.75">
      <c r="B51" s="167"/>
      <c r="D51" s="168" t="str">
        <f>+PROC1!D57</f>
        <v>Total deducciones</v>
      </c>
      <c r="E51" s="169" t="s">
        <v>57</v>
      </c>
      <c r="F51" s="169">
        <f>+PROC1!I57</f>
        <v>0</v>
      </c>
    </row>
    <row r="52" spans="2:6" ht="12.75">
      <c r="B52" s="167"/>
      <c r="D52" s="201"/>
      <c r="E52" s="173"/>
      <c r="F52" s="173"/>
    </row>
    <row r="53" spans="2:6" ht="12.75">
      <c r="B53" s="167"/>
      <c r="D53" s="201" t="s">
        <v>75</v>
      </c>
      <c r="E53" s="173"/>
      <c r="F53" s="232"/>
    </row>
    <row r="54" spans="2:6" ht="12.75" hidden="1">
      <c r="B54" s="167"/>
      <c r="D54" s="165" t="str">
        <f>+PROC1!D63</f>
        <v>Aportes voluntarios del empleador a Fondos de Pensiones (art. 126-1 ET)</v>
      </c>
      <c r="E54" s="169">
        <f>+PROC1!E63</f>
        <v>0</v>
      </c>
      <c r="F54" s="254">
        <f>+PROC1!I63</f>
        <v>0</v>
      </c>
    </row>
    <row r="55" spans="2:6" ht="12.75">
      <c r="B55" s="167"/>
      <c r="D55" s="165" t="str">
        <f>+PROC1!D64</f>
        <v>Aportes a Fondos de Pensiones Voluntarias (art. 126-1 ET)</v>
      </c>
      <c r="E55" s="166">
        <f>+PROC1!E64</f>
        <v>0</v>
      </c>
      <c r="F55" s="255"/>
    </row>
    <row r="56" spans="2:6" ht="12.75">
      <c r="B56" s="167"/>
      <c r="D56" s="165" t="str">
        <f>+PROC1!D65</f>
        <v>Descuentos hechos por la empresa con destino a cuentas AFC, AVC (art 126-4 ET)</v>
      </c>
      <c r="E56" s="166">
        <f>+PROC1!E65</f>
        <v>0</v>
      </c>
      <c r="F56" s="256"/>
    </row>
    <row r="57" spans="2:6" ht="12.75">
      <c r="B57" s="167"/>
      <c r="D57" s="165" t="str">
        <f>+PROC1!D66</f>
        <v>Indemnizaciones por accidentes de trabajo o enfermedad (art 206 ET Num 1)</v>
      </c>
      <c r="E57" s="166">
        <f>+PROC1!E66</f>
        <v>0</v>
      </c>
      <c r="F57" s="169">
        <f>+PROC1!I66</f>
        <v>0</v>
      </c>
    </row>
    <row r="58" spans="2:6" ht="12.75" hidden="1">
      <c r="B58" s="167"/>
      <c r="D58" s="165">
        <f>+PROC1!D67</f>
        <v>0</v>
      </c>
      <c r="E58" s="166">
        <f>+PROC1!E67</f>
        <v>0</v>
      </c>
      <c r="F58" s="169">
        <f>+PROC1!I67</f>
        <v>0</v>
      </c>
    </row>
    <row r="59" spans="2:6" ht="12.75">
      <c r="B59" s="167"/>
      <c r="D59" s="165" t="str">
        <f>+PROC1!D68</f>
        <v>Gastos de representación de los rectores y profesores de las U. públ. (art 206 ET Num 9)</v>
      </c>
      <c r="E59" s="166">
        <f>+PROC1!E68</f>
        <v>0</v>
      </c>
      <c r="F59" s="169">
        <f>+PROC1!I68</f>
        <v>0</v>
      </c>
    </row>
    <row r="60" spans="2:6" ht="12.75">
      <c r="B60" s="167"/>
      <c r="D60" s="165" t="str">
        <f>+PROC1!D69</f>
        <v>Indemnizaciones proteccion a la maternidad (art 206 ET Num 2)</v>
      </c>
      <c r="E60" s="166">
        <f>+PROC1!E69</f>
        <v>0</v>
      </c>
      <c r="F60" s="169">
        <f>+PROC1!I69</f>
        <v>0</v>
      </c>
    </row>
    <row r="61" spans="2:6" ht="12.75">
      <c r="B61" s="167"/>
      <c r="D61" s="165" t="str">
        <f>+PROC1!D70</f>
        <v>Gastos de entierro del trabajador (art 206 ET Num 3)</v>
      </c>
      <c r="E61" s="166">
        <f>+PROC1!E70</f>
        <v>0</v>
      </c>
      <c r="F61" s="169">
        <f>+PROC1!I70</f>
        <v>0</v>
      </c>
    </row>
    <row r="62" spans="2:6" ht="12.75">
      <c r="B62" s="167"/>
      <c r="D62" s="165" t="str">
        <f>+PROC1!D71</f>
        <v>Otras rentas exentas (Art. 206 ET)</v>
      </c>
      <c r="E62" s="166">
        <f>+PROC1!E71</f>
        <v>0</v>
      </c>
      <c r="F62" s="169">
        <f>+PROC1!I71</f>
        <v>0</v>
      </c>
    </row>
    <row r="63" spans="2:6" ht="12.75">
      <c r="B63" s="167"/>
      <c r="D63" s="168" t="str">
        <f>+PROC1!D72</f>
        <v>Total renta exentas</v>
      </c>
      <c r="E63" s="166"/>
      <c r="F63" s="169">
        <f>+PROC1!I72</f>
        <v>0</v>
      </c>
    </row>
    <row r="64" ht="12">
      <c r="B64" s="167"/>
    </row>
    <row r="65" spans="2:6" ht="12.75">
      <c r="B65" s="167"/>
      <c r="D65" s="170" t="str">
        <f>+PROC1!D74</f>
        <v>Subtotal  (C)</v>
      </c>
      <c r="E65" s="171"/>
      <c r="F65" s="169">
        <f>+PROC1!I74</f>
        <v>0</v>
      </c>
    </row>
    <row r="66" spans="2:6" ht="12.75">
      <c r="B66" s="167"/>
      <c r="D66" s="170" t="str">
        <f>+PROC1!D75</f>
        <v>Valor de la prima de servicios</v>
      </c>
      <c r="E66" s="171"/>
      <c r="F66" s="169">
        <f>+PROC1!I75</f>
        <v>0</v>
      </c>
    </row>
    <row r="67" spans="2:6" ht="12.75">
      <c r="B67" s="167"/>
      <c r="D67" s="170" t="str">
        <f>+PROC1!D76</f>
        <v>Subtotal  (C)</v>
      </c>
      <c r="E67" s="171"/>
      <c r="F67" s="169">
        <f>+PROC1!I76</f>
        <v>0</v>
      </c>
    </row>
    <row r="68" ht="12.75" thickBot="1">
      <c r="B68" s="167"/>
    </row>
    <row r="69" spans="2:6" ht="15.75" thickBot="1">
      <c r="B69" s="162">
        <v>4</v>
      </c>
      <c r="D69" s="170" t="str">
        <f>+PROC1!D78</f>
        <v>Menos renta exenta -25%  del subtotal (C)  (Numeral 10 art. 206 ET)</v>
      </c>
      <c r="E69" s="177"/>
      <c r="F69" s="169">
        <f>+PROC1!I78</f>
        <v>0</v>
      </c>
    </row>
    <row r="70" ht="12"/>
    <row r="71" spans="4:6" ht="12">
      <c r="D71" s="145" t="str">
        <f>+PROC1!D59</f>
        <v>Límite del 40% sobre RE y Deducciones (excluir cesantías)</v>
      </c>
      <c r="F71" s="146">
        <f>+PROC1!I59</f>
        <v>0</v>
      </c>
    </row>
    <row r="72" spans="4:6" ht="12">
      <c r="D72" s="145" t="str">
        <f>+PROC1!D60</f>
        <v>Total renta exentas (incluye el 25%) y deducciones</v>
      </c>
      <c r="F72" s="146">
        <f>+PROC1!I60</f>
        <v>0</v>
      </c>
    </row>
    <row r="73" ht="12"/>
    <row r="74" spans="4:7" ht="13.5">
      <c r="D74" s="170" t="str">
        <f>+PROC1!D81</f>
        <v>Base Gravable (Ver Tabla)</v>
      </c>
      <c r="E74" s="171"/>
      <c r="F74" s="169">
        <f>+PROC1!I81</f>
        <v>0</v>
      </c>
      <c r="G74" s="192">
        <f>+PROC1!J81</f>
        <v>0</v>
      </c>
    </row>
    <row r="75" ht="12"/>
    <row r="76" spans="4:7" ht="13.5">
      <c r="D76" s="181" t="str">
        <f>+PROC1!D85</f>
        <v>Valor retención en la fuente Art. 383 ET</v>
      </c>
      <c r="E76" s="178"/>
      <c r="F76" s="179">
        <f>+PROC1!I85</f>
        <v>0</v>
      </c>
      <c r="G76" s="183"/>
    </row>
    <row r="77" spans="4:6" ht="13.5">
      <c r="D77" s="181" t="str">
        <f>+PROC1!D86</f>
        <v>Valor retención en la fuente a practicar por prima de servicios (art. 383 ET)</v>
      </c>
      <c r="E77" s="178"/>
      <c r="F77" s="179">
        <f>+PROC1!I86</f>
        <v>0</v>
      </c>
    </row>
    <row r="78" spans="4:7" ht="13.5">
      <c r="D78" s="181" t="str">
        <f>+PROC1!D87</f>
        <v>Total retenciones a practicar (Art. 383 ET)</v>
      </c>
      <c r="E78" s="178"/>
      <c r="F78" s="179">
        <f>+PROC1!I87</f>
        <v>0</v>
      </c>
      <c r="G78" s="183" t="str">
        <f>+PROC1!J87</f>
        <v> </v>
      </c>
    </row>
    <row r="79" spans="4:7" ht="13.5">
      <c r="D79" s="172"/>
      <c r="E79" s="186"/>
      <c r="F79" s="187"/>
      <c r="G79" s="183"/>
    </row>
    <row r="80" spans="4:7" ht="13.5">
      <c r="D80" s="172"/>
      <c r="E80" s="186"/>
      <c r="F80" s="187"/>
      <c r="G80" s="183"/>
    </row>
    <row r="81" spans="4:7" ht="13.5">
      <c r="D81" s="172"/>
      <c r="E81" s="186"/>
      <c r="F81" s="187"/>
      <c r="G81" s="183"/>
    </row>
    <row r="82" ht="12"/>
    <row r="83" ht="15">
      <c r="D83" s="180">
        <f>+PROC1!J81</f>
        <v>0</v>
      </c>
    </row>
    <row r="84" ht="12"/>
    <row r="85" ht="12"/>
    <row r="86" ht="12">
      <c r="F86" s="146" t="s">
        <v>73</v>
      </c>
    </row>
    <row r="87" ht="12">
      <c r="F87" s="146" t="s">
        <v>74</v>
      </c>
    </row>
    <row r="88" ht="12"/>
    <row r="89" ht="12"/>
    <row r="99" ht="12"/>
    <row r="100" ht="12"/>
    <row r="101" ht="12"/>
    <row r="102" ht="12"/>
    <row r="103" ht="12"/>
    <row r="104" ht="12"/>
    <row r="105" ht="12"/>
    <row r="106" ht="12"/>
    <row r="107" ht="12"/>
    <row r="108" ht="12"/>
    <row r="109" ht="12"/>
    <row r="110" ht="12"/>
    <row r="111" ht="12"/>
  </sheetData>
  <sheetProtection password="CAE7" sheet="1"/>
  <mergeCells count="1">
    <mergeCell ref="F54:F56"/>
  </mergeCells>
  <dataValidations count="4">
    <dataValidation allowBlank="1" showInputMessage="1" showErrorMessage="1" prompt="Recuerde que estos pagos que efectue el empleador por concepto de alimentación  del trabajador  o de su conyugue co compañero (a) permanente, sus hijos o su padres son ingresos no constitutivos de renta" sqref="E43"/>
    <dataValidation allowBlank="1" showInputMessage="1" showErrorMessage="1" promptTitle="Incluya" prompt="Pagos directos o indirectos&#10;En dinero o en especie&#10;Sean o no factor salarial&#10;Art. 127 y 128 del CST&#10;&#10;Recuerde que en el mes que se pague prima legal, esta se debe liquidar de forma independiente.&#10;" sqref="D34 D16:E33"/>
    <dataValidation allowBlank="1" showInputMessage="1" showErrorMessage="1" prompt="Digite la totalidad de los ingresos recibidos en el año anterior" sqref="F6"/>
    <dataValidation allowBlank="1" showInputMessage="1" showErrorMessage="1" prompt="Digite el valor promedio mensual  correspondinte al descontado al trabajador en el año inmediatamente anterior&#10;" sqref="E48:E50"/>
  </dataValidations>
  <printOptions/>
  <pageMargins left="0.3937007874015748" right="0.1968503937007874" top="0.1968503937007874" bottom="0.1968503937007874" header="0" footer="0"/>
  <pageSetup fitToHeight="1" fitToWidth="1" horizontalDpi="600" verticalDpi="600" orientation="portrait" scale="70" r:id="rId4"/>
  <headerFooter alignWithMargins="0">
    <oddFooter>&amp;C&amp;D&amp;T&amp;R&amp;8
&amp;10www.consultorcontable.com</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Hoja3"/>
  <dimension ref="A1:C58"/>
  <sheetViews>
    <sheetView zoomScalePageLayoutView="0" workbookViewId="0" topLeftCell="A1">
      <selection activeCell="B10" sqref="B10"/>
    </sheetView>
  </sheetViews>
  <sheetFormatPr defaultColWidth="0" defaultRowHeight="12.75" zeroHeight="1"/>
  <cols>
    <col min="1" max="1" width="2.00390625" style="0" customWidth="1"/>
    <col min="2" max="2" width="123.57421875" style="0" bestFit="1" customWidth="1"/>
    <col min="3" max="3" width="11.421875" style="0" customWidth="1"/>
    <col min="4" max="16384" width="0" style="0" hidden="1" customWidth="1"/>
  </cols>
  <sheetData>
    <row r="1" spans="1:3" ht="32.25" customHeight="1">
      <c r="A1" s="34"/>
      <c r="B1" s="34"/>
      <c r="C1" s="34"/>
    </row>
    <row r="2" spans="1:3" ht="25.5">
      <c r="A2" s="34"/>
      <c r="B2" s="44" t="s">
        <v>8</v>
      </c>
      <c r="C2" s="34"/>
    </row>
    <row r="3" spans="1:3" ht="13.5" customHeight="1">
      <c r="A3" s="34"/>
      <c r="B3" s="35"/>
      <c r="C3" s="34"/>
    </row>
    <row r="4" spans="1:3" ht="15" hidden="1">
      <c r="A4" s="34"/>
      <c r="B4" s="35"/>
      <c r="C4" s="34"/>
    </row>
    <row r="5" spans="1:3" ht="12">
      <c r="A5" s="34"/>
      <c r="B5" s="36" t="s">
        <v>140</v>
      </c>
      <c r="C5" s="34"/>
    </row>
    <row r="6" spans="1:3" ht="11.25" customHeight="1">
      <c r="A6" s="34"/>
      <c r="B6" s="35"/>
      <c r="C6" s="34"/>
    </row>
    <row r="7" spans="1:3" ht="4.5" customHeight="1">
      <c r="A7" s="34"/>
      <c r="B7" s="35"/>
      <c r="C7" s="34"/>
    </row>
    <row r="8" spans="1:3" ht="15">
      <c r="A8" s="34"/>
      <c r="B8" s="37" t="s">
        <v>9</v>
      </c>
      <c r="C8" s="34"/>
    </row>
    <row r="9" spans="1:3" ht="15">
      <c r="A9" s="34"/>
      <c r="B9" s="38"/>
      <c r="C9" s="34"/>
    </row>
    <row r="10" spans="1:3" ht="15">
      <c r="A10" s="34"/>
      <c r="B10" s="38"/>
      <c r="C10" s="34"/>
    </row>
    <row r="11" spans="1:3" ht="12">
      <c r="A11" s="34"/>
      <c r="B11" s="39" t="s">
        <v>10</v>
      </c>
      <c r="C11" s="34"/>
    </row>
    <row r="12" spans="1:3" ht="12">
      <c r="A12" s="34"/>
      <c r="B12" s="40"/>
      <c r="C12" s="34"/>
    </row>
    <row r="13" spans="1:3" ht="24.75">
      <c r="A13" s="34"/>
      <c r="B13" s="40" t="s">
        <v>11</v>
      </c>
      <c r="C13" s="34"/>
    </row>
    <row r="14" spans="1:3" ht="12">
      <c r="A14" s="34"/>
      <c r="B14" s="40"/>
      <c r="C14" s="34"/>
    </row>
    <row r="15" spans="1:3" ht="24.75">
      <c r="A15" s="34"/>
      <c r="B15" s="40" t="s">
        <v>12</v>
      </c>
      <c r="C15" s="34"/>
    </row>
    <row r="16" spans="1:3" ht="12">
      <c r="A16" s="34"/>
      <c r="B16" s="40" t="s">
        <v>141</v>
      </c>
      <c r="C16" s="34"/>
    </row>
    <row r="17" spans="1:3" ht="12">
      <c r="A17" s="34"/>
      <c r="B17" s="40"/>
      <c r="C17" s="34"/>
    </row>
    <row r="18" spans="1:3" ht="12">
      <c r="A18" s="34"/>
      <c r="B18" s="40"/>
      <c r="C18" s="34"/>
    </row>
    <row r="19" spans="1:3" ht="12">
      <c r="A19" s="34"/>
      <c r="B19" s="39" t="s">
        <v>13</v>
      </c>
      <c r="C19" s="34"/>
    </row>
    <row r="20" spans="1:3" ht="12">
      <c r="A20" s="34"/>
      <c r="B20" s="40"/>
      <c r="C20" s="34"/>
    </row>
    <row r="21" spans="1:3" ht="12">
      <c r="A21" s="34"/>
      <c r="B21" s="40"/>
      <c r="C21" s="34"/>
    </row>
    <row r="22" spans="1:3" ht="37.5">
      <c r="A22" s="34"/>
      <c r="B22" s="40" t="s">
        <v>14</v>
      </c>
      <c r="C22" s="34"/>
    </row>
    <row r="23" spans="1:3" ht="12">
      <c r="A23" s="34"/>
      <c r="B23" s="40"/>
      <c r="C23" s="34"/>
    </row>
    <row r="24" spans="1:3" ht="24.75">
      <c r="A24" s="34"/>
      <c r="B24" s="40" t="s">
        <v>15</v>
      </c>
      <c r="C24" s="34"/>
    </row>
    <row r="25" spans="1:3" ht="12">
      <c r="A25" s="34"/>
      <c r="B25" s="40"/>
      <c r="C25" s="34"/>
    </row>
    <row r="26" spans="1:3" ht="12">
      <c r="A26" s="34"/>
      <c r="B26" s="40"/>
      <c r="C26" s="34"/>
    </row>
    <row r="27" spans="1:3" ht="24.75">
      <c r="A27" s="34"/>
      <c r="B27" s="40" t="s">
        <v>16</v>
      </c>
      <c r="C27" s="34"/>
    </row>
    <row r="28" spans="1:3" ht="12">
      <c r="A28" s="34"/>
      <c r="B28" s="40"/>
      <c r="C28" s="34"/>
    </row>
    <row r="29" spans="1:3" ht="12">
      <c r="A29" s="34"/>
      <c r="B29" s="40"/>
      <c r="C29" s="34"/>
    </row>
    <row r="30" spans="1:3" ht="12">
      <c r="A30" s="34"/>
      <c r="B30" s="39" t="s">
        <v>17</v>
      </c>
      <c r="C30" s="34"/>
    </row>
    <row r="31" spans="1:3" ht="12">
      <c r="A31" s="34"/>
      <c r="B31" s="40"/>
      <c r="C31" s="34"/>
    </row>
    <row r="32" spans="1:3" ht="12">
      <c r="A32" s="34"/>
      <c r="B32" s="40"/>
      <c r="C32" s="34"/>
    </row>
    <row r="33" spans="1:3" ht="37.5">
      <c r="A33" s="34"/>
      <c r="B33" s="41" t="s">
        <v>18</v>
      </c>
      <c r="C33" s="34"/>
    </row>
    <row r="34" spans="1:3" ht="12">
      <c r="A34" s="34"/>
      <c r="B34" s="40" t="s">
        <v>19</v>
      </c>
      <c r="C34" s="34"/>
    </row>
    <row r="35" spans="1:3" ht="12">
      <c r="A35" s="34"/>
      <c r="B35" s="40"/>
      <c r="C35" s="34"/>
    </row>
    <row r="36" spans="1:3" ht="49.5">
      <c r="A36" s="34"/>
      <c r="B36" s="41" t="s">
        <v>20</v>
      </c>
      <c r="C36" s="34"/>
    </row>
    <row r="37" spans="1:3" ht="24.75">
      <c r="A37" s="34"/>
      <c r="B37" s="40" t="s">
        <v>21</v>
      </c>
      <c r="C37" s="34"/>
    </row>
    <row r="38" spans="1:3" ht="12">
      <c r="A38" s="34"/>
      <c r="B38" s="40"/>
      <c r="C38" s="34"/>
    </row>
    <row r="39" spans="1:3" ht="49.5">
      <c r="A39" s="34"/>
      <c r="B39" s="41" t="s">
        <v>22</v>
      </c>
      <c r="C39" s="34"/>
    </row>
    <row r="40" spans="1:3" ht="12">
      <c r="A40" s="34"/>
      <c r="B40" s="40"/>
      <c r="C40" s="34"/>
    </row>
    <row r="41" spans="1:3" ht="12">
      <c r="A41" s="34"/>
      <c r="B41" s="40"/>
      <c r="C41" s="34"/>
    </row>
    <row r="42" spans="1:3" ht="12">
      <c r="A42" s="34"/>
      <c r="B42" s="39" t="s">
        <v>23</v>
      </c>
      <c r="C42" s="34"/>
    </row>
    <row r="43" spans="1:3" ht="12">
      <c r="A43" s="34"/>
      <c r="B43" s="39"/>
      <c r="C43" s="34"/>
    </row>
    <row r="44" spans="1:3" ht="24.75">
      <c r="A44" s="34"/>
      <c r="B44" s="40" t="s">
        <v>28</v>
      </c>
      <c r="C44" s="34"/>
    </row>
    <row r="45" spans="1:3" ht="12">
      <c r="A45" s="34"/>
      <c r="B45" s="40"/>
      <c r="C45" s="34"/>
    </row>
    <row r="46" spans="1:3" ht="12">
      <c r="A46" s="34"/>
      <c r="B46" s="40"/>
      <c r="C46" s="34"/>
    </row>
    <row r="47" spans="1:3" ht="12.75" customHeight="1">
      <c r="A47" s="34"/>
      <c r="B47" s="257" t="s">
        <v>27</v>
      </c>
      <c r="C47" s="34"/>
    </row>
    <row r="48" spans="1:3" ht="43.5" customHeight="1">
      <c r="A48" s="34"/>
      <c r="B48" s="258"/>
      <c r="C48" s="34"/>
    </row>
    <row r="49" spans="1:3" ht="63.75" customHeight="1">
      <c r="A49" s="34"/>
      <c r="B49" s="258"/>
      <c r="C49" s="34"/>
    </row>
    <row r="50" spans="1:3" ht="74.25" customHeight="1">
      <c r="A50" s="34"/>
      <c r="B50" s="258"/>
      <c r="C50" s="34"/>
    </row>
    <row r="51" spans="1:3" ht="120.75" customHeight="1">
      <c r="A51" s="34"/>
      <c r="B51" s="258"/>
      <c r="C51" s="34"/>
    </row>
    <row r="52" spans="1:3" ht="12">
      <c r="A52" s="34"/>
      <c r="B52" s="258"/>
      <c r="C52" s="34"/>
    </row>
    <row r="53" spans="1:3" ht="12">
      <c r="A53" s="34"/>
      <c r="B53" s="258"/>
      <c r="C53" s="34"/>
    </row>
    <row r="54" spans="1:3" ht="21" customHeight="1">
      <c r="A54" s="34"/>
      <c r="B54" s="258"/>
      <c r="C54" s="34"/>
    </row>
    <row r="55" spans="1:3" ht="33" customHeight="1">
      <c r="A55" s="34"/>
      <c r="B55" s="258"/>
      <c r="C55" s="34"/>
    </row>
    <row r="56" spans="1:3" ht="12">
      <c r="A56" s="34"/>
      <c r="B56" s="41" t="s">
        <v>57</v>
      </c>
      <c r="C56" s="34"/>
    </row>
    <row r="57" spans="1:3" ht="12">
      <c r="A57" s="34"/>
      <c r="B57" s="40" t="s">
        <v>57</v>
      </c>
      <c r="C57" s="34"/>
    </row>
    <row r="58" spans="1:2" s="42" customFormat="1" ht="12">
      <c r="A58" s="43"/>
      <c r="B58" s="197" t="s">
        <v>98</v>
      </c>
    </row>
    <row r="59" s="34" customFormat="1" ht="12"/>
    <row r="60" s="34" customFormat="1" ht="12"/>
  </sheetData>
  <sheetProtection password="CAE7" sheet="1"/>
  <mergeCells count="1">
    <mergeCell ref="B47:B55"/>
  </mergeCells>
  <hyperlinks>
    <hyperlink ref="B58" r:id="rId1" display="www.consultorcontable.com "/>
  </hyperlinks>
  <printOptions/>
  <pageMargins left="0.31496062992125984" right="0.31496062992125984" top="0.7480314960629921" bottom="0.7480314960629921" header="0.31496062992125984" footer="0.31496062992125984"/>
  <pageSetup horizontalDpi="600" verticalDpi="600" orientation="portrait" scale="70" r:id="rId3"/>
  <drawing r:id="rId2"/>
</worksheet>
</file>

<file path=xl/worksheets/sheet4.xml><?xml version="1.0" encoding="utf-8"?>
<worksheet xmlns="http://schemas.openxmlformats.org/spreadsheetml/2006/main" xmlns:r="http://schemas.openxmlformats.org/officeDocument/2006/relationships">
  <sheetPr codeName="Hoja2"/>
  <dimension ref="B1:H32"/>
  <sheetViews>
    <sheetView showGridLines="0" defaultGridColor="0" zoomScale="115" zoomScaleNormal="115" zoomScalePageLayoutView="0" colorId="23" workbookViewId="0" topLeftCell="A1">
      <selection activeCell="E9" sqref="E9:E10"/>
    </sheetView>
  </sheetViews>
  <sheetFormatPr defaultColWidth="0" defaultRowHeight="12.75" outlineLevelCol="1"/>
  <cols>
    <col min="1" max="1" width="0.85546875" style="0" customWidth="1"/>
    <col min="2" max="2" width="14.7109375" style="0" bestFit="1" customWidth="1"/>
    <col min="3" max="3" width="16.7109375" style="0" customWidth="1"/>
    <col min="4" max="4" width="14.140625" style="0" customWidth="1"/>
    <col min="5" max="5" width="51.8515625" style="0" customWidth="1"/>
    <col min="6" max="6" width="13.140625" style="0" hidden="1" customWidth="1" outlineLevel="1"/>
    <col min="7" max="7" width="12.421875" style="0" hidden="1" customWidth="1" outlineLevel="1"/>
    <col min="8" max="8" width="9.57421875" style="0" hidden="1" customWidth="1" outlineLevel="1"/>
    <col min="9" max="9" width="11.421875" style="0" customWidth="1" collapsed="1"/>
    <col min="10" max="16384" width="0" style="0" hidden="1" customWidth="1"/>
  </cols>
  <sheetData>
    <row r="1" ht="5.25" customHeight="1">
      <c r="E1" s="14"/>
    </row>
    <row r="2" spans="2:5" ht="12" customHeight="1">
      <c r="B2" s="13"/>
      <c r="C2" s="13"/>
      <c r="D2" s="13"/>
      <c r="E2" s="18"/>
    </row>
    <row r="3" spans="2:6" ht="15.75" customHeight="1">
      <c r="B3" s="29"/>
      <c r="C3" s="259" t="s">
        <v>47</v>
      </c>
      <c r="D3" s="259"/>
      <c r="E3" s="259"/>
      <c r="F3" s="28"/>
    </row>
    <row r="4" spans="2:5" ht="17.25" customHeight="1">
      <c r="B4" s="13"/>
      <c r="C4" s="13"/>
      <c r="D4" s="13"/>
      <c r="E4" s="18"/>
    </row>
    <row r="5" ht="13.5" thickBot="1"/>
    <row r="6" spans="2:5" ht="14.25" thickBot="1">
      <c r="B6" s="266" t="s">
        <v>130</v>
      </c>
      <c r="C6" s="267"/>
      <c r="D6" s="267"/>
      <c r="E6" s="268"/>
    </row>
    <row r="7" spans="2:8" ht="15" customHeight="1">
      <c r="B7" s="17"/>
      <c r="C7" s="1"/>
      <c r="D7" s="1" t="s">
        <v>61</v>
      </c>
      <c r="E7" s="1"/>
      <c r="G7" t="s">
        <v>4</v>
      </c>
      <c r="H7" s="8">
        <f>+PROC1!I81/PROC1!I14</f>
        <v>0</v>
      </c>
    </row>
    <row r="8" spans="2:5" ht="10.5" customHeight="1" thickBot="1">
      <c r="B8" s="1"/>
      <c r="C8" s="1"/>
      <c r="D8" s="1"/>
      <c r="E8" s="1"/>
    </row>
    <row r="9" spans="2:8" ht="14.25" customHeight="1">
      <c r="B9" s="264" t="s">
        <v>41</v>
      </c>
      <c r="C9" s="265"/>
      <c r="D9" s="271" t="s">
        <v>44</v>
      </c>
      <c r="E9" s="269" t="s">
        <v>45</v>
      </c>
      <c r="F9" s="262" t="s">
        <v>3</v>
      </c>
      <c r="G9" s="260" t="s">
        <v>46</v>
      </c>
      <c r="H9" s="260" t="s">
        <v>4</v>
      </c>
    </row>
    <row r="10" spans="2:8" ht="15" customHeight="1" thickBot="1">
      <c r="B10" s="15" t="s">
        <v>42</v>
      </c>
      <c r="C10" s="16" t="s">
        <v>43</v>
      </c>
      <c r="D10" s="272"/>
      <c r="E10" s="270"/>
      <c r="F10" s="263"/>
      <c r="G10" s="261"/>
      <c r="H10" s="261"/>
    </row>
    <row r="11" spans="2:8" ht="23.25" customHeight="1" thickBot="1">
      <c r="B11" s="19" t="s">
        <v>0</v>
      </c>
      <c r="C11" s="20">
        <v>87</v>
      </c>
      <c r="D11" s="21">
        <v>0</v>
      </c>
      <c r="E11" s="32">
        <v>0</v>
      </c>
      <c r="F11" s="30"/>
      <c r="G11" s="2"/>
      <c r="H11" s="5"/>
    </row>
    <row r="12" spans="2:8" ht="28.5" thickBot="1">
      <c r="B12" s="22">
        <v>87</v>
      </c>
      <c r="C12" s="23">
        <v>145</v>
      </c>
      <c r="D12" s="24">
        <v>0.19</v>
      </c>
      <c r="E12" s="202" t="s">
        <v>131</v>
      </c>
      <c r="F12" s="30"/>
      <c r="G12" s="2" t="b">
        <f aca="true" t="shared" si="0" ref="G12:G17">AND($H$7&gt;=B12,$H$7&lt;C12)</f>
        <v>0</v>
      </c>
      <c r="H12" s="5">
        <f>IF(G12=TRUE,($H$7-B12)*D12,0)</f>
        <v>0</v>
      </c>
    </row>
    <row r="13" spans="2:8" ht="28.5" thickBot="1">
      <c r="B13" s="22">
        <v>145</v>
      </c>
      <c r="C13" s="23">
        <v>335</v>
      </c>
      <c r="D13" s="24">
        <v>0.28</v>
      </c>
      <c r="E13" s="202" t="s">
        <v>132</v>
      </c>
      <c r="F13" s="30">
        <v>11</v>
      </c>
      <c r="G13" s="2" t="b">
        <f t="shared" si="0"/>
        <v>0</v>
      </c>
      <c r="H13" s="5">
        <f>IF(G13=TRUE,($H$7-B13)*D13+F13,0)</f>
        <v>0</v>
      </c>
    </row>
    <row r="14" spans="2:8" ht="28.5" thickBot="1">
      <c r="B14" s="25">
        <v>335</v>
      </c>
      <c r="C14" s="26">
        <v>640</v>
      </c>
      <c r="D14" s="27">
        <v>0.33</v>
      </c>
      <c r="E14" s="202" t="s">
        <v>133</v>
      </c>
      <c r="F14" s="31">
        <v>64</v>
      </c>
      <c r="G14" s="3" t="b">
        <f t="shared" si="0"/>
        <v>0</v>
      </c>
      <c r="H14" s="6">
        <f>IF(G14=TRUE,($H$7-B14)*D14+F14,0)</f>
        <v>0</v>
      </c>
    </row>
    <row r="15" spans="2:8" ht="28.5" thickBot="1">
      <c r="B15" s="25">
        <v>640</v>
      </c>
      <c r="C15" s="26">
        <v>945</v>
      </c>
      <c r="D15" s="27">
        <v>0.35</v>
      </c>
      <c r="E15" s="202" t="s">
        <v>134</v>
      </c>
      <c r="F15" s="31">
        <v>165</v>
      </c>
      <c r="G15" s="3" t="b">
        <f t="shared" si="0"/>
        <v>0</v>
      </c>
      <c r="H15" s="6">
        <f>IF(G15=TRUE,($H$7-B15)*D15+F15,0)</f>
        <v>0</v>
      </c>
    </row>
    <row r="16" spans="2:8" ht="28.5" thickBot="1">
      <c r="B16" s="25">
        <v>945</v>
      </c>
      <c r="C16" s="26">
        <v>2300</v>
      </c>
      <c r="D16" s="27">
        <v>0.37</v>
      </c>
      <c r="E16" s="202" t="s">
        <v>135</v>
      </c>
      <c r="F16" s="31">
        <v>272</v>
      </c>
      <c r="G16" s="3" t="b">
        <f t="shared" si="0"/>
        <v>0</v>
      </c>
      <c r="H16" s="6">
        <f>IF(G16=TRUE,($H$7-B16)*D16+F16,0)</f>
        <v>0</v>
      </c>
    </row>
    <row r="17" spans="2:8" ht="28.5" thickBot="1">
      <c r="B17" s="25">
        <v>2300</v>
      </c>
      <c r="C17" s="26" t="s">
        <v>1</v>
      </c>
      <c r="D17" s="27">
        <v>0.39</v>
      </c>
      <c r="E17" s="202" t="s">
        <v>136</v>
      </c>
      <c r="F17" s="31">
        <v>773</v>
      </c>
      <c r="G17" s="3" t="b">
        <f t="shared" si="0"/>
        <v>0</v>
      </c>
      <c r="H17" s="6">
        <f>IF(G17=TRUE,($H$7-B17)*D17+F17,0)</f>
        <v>0</v>
      </c>
    </row>
    <row r="18" ht="12.75" thickBot="1">
      <c r="H18" s="7">
        <f>SUM(H12:H17)</f>
        <v>0</v>
      </c>
    </row>
    <row r="19" spans="2:3" ht="12">
      <c r="B19" s="33" t="s">
        <v>7</v>
      </c>
      <c r="C19" s="10"/>
    </row>
    <row r="20" spans="2:6" ht="12">
      <c r="B20" s="10"/>
      <c r="C20" s="10"/>
      <c r="F20" s="203">
        <f>+H7</f>
        <v>0</v>
      </c>
    </row>
    <row r="21" spans="2:7" ht="12">
      <c r="B21" s="10"/>
      <c r="C21" s="10"/>
      <c r="F21">
        <f>+G21</f>
        <v>145</v>
      </c>
      <c r="G21">
        <v>145</v>
      </c>
    </row>
    <row r="22" ht="12">
      <c r="F22" s="4">
        <f>+F20-F21</f>
        <v>-145</v>
      </c>
    </row>
    <row r="23" spans="6:7" ht="12">
      <c r="F23" s="204">
        <f>+F22*G23</f>
        <v>-40.6</v>
      </c>
      <c r="G23" s="205">
        <v>0.28</v>
      </c>
    </row>
    <row r="24" spans="6:7" ht="12">
      <c r="F24" s="206">
        <f>+F23+G24</f>
        <v>-29.6</v>
      </c>
      <c r="G24">
        <v>11</v>
      </c>
    </row>
    <row r="27" ht="12">
      <c r="F27" s="207">
        <f>+H18-F24</f>
        <v>29.6</v>
      </c>
    </row>
    <row r="28" ht="12">
      <c r="D28" s="11"/>
    </row>
    <row r="32" spans="3:4" ht="12">
      <c r="C32" s="12"/>
      <c r="D32" s="9"/>
    </row>
  </sheetData>
  <sheetProtection password="CAE7" sheet="1"/>
  <mergeCells count="8">
    <mergeCell ref="C3:E3"/>
    <mergeCell ref="H9:H10"/>
    <mergeCell ref="F9:F10"/>
    <mergeCell ref="B9:C9"/>
    <mergeCell ref="B6:E6"/>
    <mergeCell ref="E9:E10"/>
    <mergeCell ref="D9:D10"/>
    <mergeCell ref="G9:G10"/>
  </mergeCells>
  <printOptions horizontalCentered="1" verticalCentered="1"/>
  <pageMargins left="0.7874015748031497" right="0.7874015748031497" top="0.984251968503937" bottom="0.984251968503937" header="0" footer="0"/>
  <pageSetup horizontalDpi="600" verticalDpi="600" orientation="landscape" paperSize="119" scale="90" r:id="rId2"/>
  <drawing r:id="rId1"/>
</worksheet>
</file>

<file path=xl/worksheets/sheet5.xml><?xml version="1.0" encoding="utf-8"?>
<worksheet xmlns="http://schemas.openxmlformats.org/spreadsheetml/2006/main" xmlns:r="http://schemas.openxmlformats.org/officeDocument/2006/relationships">
  <sheetPr codeName="Hoja7"/>
  <dimension ref="B1:H36"/>
  <sheetViews>
    <sheetView showGridLines="0" defaultGridColor="0" zoomScale="115" zoomScaleNormal="115" zoomScalePageLayoutView="0" colorId="23" workbookViewId="0" topLeftCell="A1">
      <selection activeCell="D9" sqref="D9:D10"/>
    </sheetView>
  </sheetViews>
  <sheetFormatPr defaultColWidth="0" defaultRowHeight="12.75" outlineLevelCol="1"/>
  <cols>
    <col min="1" max="1" width="0.85546875" style="0" customWidth="1"/>
    <col min="2" max="2" width="14.7109375" style="0" bestFit="1" customWidth="1"/>
    <col min="3" max="3" width="16.7109375" style="0" customWidth="1"/>
    <col min="4" max="4" width="14.140625" style="0" customWidth="1"/>
    <col min="5" max="5" width="52.421875" style="0" customWidth="1"/>
    <col min="6" max="6" width="13.7109375" style="0" hidden="1" customWidth="1" outlineLevel="1"/>
    <col min="7" max="7" width="14.140625" style="0" hidden="1" customWidth="1" outlineLevel="1"/>
    <col min="8" max="8" width="15.00390625" style="0" hidden="1" customWidth="1" outlineLevel="1"/>
    <col min="9" max="9" width="11.421875" style="0" customWidth="1" collapsed="1"/>
    <col min="10" max="16384" width="0" style="0" hidden="1" customWidth="1"/>
  </cols>
  <sheetData>
    <row r="1" ht="5.25" customHeight="1">
      <c r="E1" s="14"/>
    </row>
    <row r="2" spans="2:5" ht="12" customHeight="1">
      <c r="B2" s="13"/>
      <c r="C2" s="13"/>
      <c r="D2" s="13"/>
      <c r="E2" s="18"/>
    </row>
    <row r="3" spans="2:6" ht="15.75" customHeight="1">
      <c r="B3" s="29"/>
      <c r="C3" s="259" t="s">
        <v>47</v>
      </c>
      <c r="D3" s="259"/>
      <c r="E3" s="259"/>
      <c r="F3" s="28"/>
    </row>
    <row r="4" spans="2:5" ht="17.25" customHeight="1">
      <c r="B4" s="13"/>
      <c r="C4" s="13"/>
      <c r="D4" s="13"/>
      <c r="E4" s="18"/>
    </row>
    <row r="5" ht="13.5" thickBot="1"/>
    <row r="6" spans="2:5" ht="14.25" thickBot="1">
      <c r="B6" s="266" t="s">
        <v>6</v>
      </c>
      <c r="C6" s="267"/>
      <c r="D6" s="267"/>
      <c r="E6" s="268"/>
    </row>
    <row r="7" spans="2:8" ht="15" customHeight="1">
      <c r="B7" s="17"/>
      <c r="C7" s="1"/>
      <c r="D7" s="1" t="s">
        <v>60</v>
      </c>
      <c r="E7" s="1"/>
      <c r="G7" t="s">
        <v>4</v>
      </c>
      <c r="H7" s="8">
        <f>+D25/PROC1!I14</f>
        <v>0</v>
      </c>
    </row>
    <row r="8" spans="2:5" ht="10.5" customHeight="1" thickBot="1">
      <c r="B8" s="1"/>
      <c r="C8" s="1"/>
      <c r="D8" s="1"/>
      <c r="E8" s="1"/>
    </row>
    <row r="9" spans="2:8" ht="14.25" customHeight="1">
      <c r="B9" s="264" t="s">
        <v>41</v>
      </c>
      <c r="C9" s="265"/>
      <c r="D9" s="271" t="s">
        <v>44</v>
      </c>
      <c r="E9" s="269" t="s">
        <v>45</v>
      </c>
      <c r="F9" s="262" t="s">
        <v>3</v>
      </c>
      <c r="G9" s="260" t="s">
        <v>46</v>
      </c>
      <c r="H9" s="260" t="s">
        <v>4</v>
      </c>
    </row>
    <row r="10" spans="2:8" ht="15" customHeight="1">
      <c r="B10" s="223" t="s">
        <v>42</v>
      </c>
      <c r="C10" s="224" t="s">
        <v>43</v>
      </c>
      <c r="D10" s="274"/>
      <c r="E10" s="275"/>
      <c r="F10" s="276"/>
      <c r="G10" s="273"/>
      <c r="H10" s="273"/>
    </row>
    <row r="11" spans="2:8" ht="23.25" customHeight="1">
      <c r="B11" s="23" t="s">
        <v>0</v>
      </c>
      <c r="C11" s="23">
        <v>87</v>
      </c>
      <c r="D11" s="24">
        <v>0</v>
      </c>
      <c r="E11" s="226">
        <v>0</v>
      </c>
      <c r="F11" s="227"/>
      <c r="G11" s="227"/>
      <c r="H11" s="228"/>
    </row>
    <row r="12" spans="2:8" ht="27.75">
      <c r="B12" s="23">
        <v>87</v>
      </c>
      <c r="C12" s="23">
        <v>145</v>
      </c>
      <c r="D12" s="24">
        <v>0.19</v>
      </c>
      <c r="E12" s="229" t="s">
        <v>131</v>
      </c>
      <c r="F12" s="227"/>
      <c r="G12" s="227" t="b">
        <f aca="true" t="shared" si="0" ref="G12:G17">AND($H$7&gt;=B12,$H$7&lt;C12)</f>
        <v>0</v>
      </c>
      <c r="H12" s="228">
        <f>IF(G12=TRUE,($H$7-B12)*D12,0)</f>
        <v>0</v>
      </c>
    </row>
    <row r="13" spans="2:8" ht="27.75">
      <c r="B13" s="23">
        <v>145</v>
      </c>
      <c r="C13" s="23">
        <v>335</v>
      </c>
      <c r="D13" s="24">
        <v>0.28</v>
      </c>
      <c r="E13" s="229" t="s">
        <v>132</v>
      </c>
      <c r="F13" s="227">
        <v>11</v>
      </c>
      <c r="G13" s="227" t="b">
        <f t="shared" si="0"/>
        <v>0</v>
      </c>
      <c r="H13" s="228">
        <f>IF(G13=TRUE,($H$7-B13)*D13+F13,0)</f>
        <v>0</v>
      </c>
    </row>
    <row r="14" spans="2:8" ht="27.75">
      <c r="B14" s="23">
        <v>335</v>
      </c>
      <c r="C14" s="23">
        <v>640</v>
      </c>
      <c r="D14" s="24">
        <v>0.33</v>
      </c>
      <c r="E14" s="229" t="s">
        <v>133</v>
      </c>
      <c r="F14" s="227">
        <v>64</v>
      </c>
      <c r="G14" s="227" t="b">
        <f t="shared" si="0"/>
        <v>0</v>
      </c>
      <c r="H14" s="228">
        <f>IF(G14=TRUE,($H$7-B14)*D14+F14,0)</f>
        <v>0</v>
      </c>
    </row>
    <row r="15" spans="2:8" ht="27.75">
      <c r="B15" s="23">
        <v>640</v>
      </c>
      <c r="C15" s="23">
        <v>945</v>
      </c>
      <c r="D15" s="24">
        <v>0.35</v>
      </c>
      <c r="E15" s="229" t="s">
        <v>134</v>
      </c>
      <c r="F15" s="227">
        <v>165</v>
      </c>
      <c r="G15" s="227" t="b">
        <f t="shared" si="0"/>
        <v>0</v>
      </c>
      <c r="H15" s="228">
        <f>IF(G15=TRUE,($H$7-B15)*D15+F15,0)</f>
        <v>0</v>
      </c>
    </row>
    <row r="16" spans="2:8" ht="27.75">
      <c r="B16" s="23">
        <v>945</v>
      </c>
      <c r="C16" s="23">
        <v>2300</v>
      </c>
      <c r="D16" s="24">
        <v>0.37</v>
      </c>
      <c r="E16" s="229" t="s">
        <v>135</v>
      </c>
      <c r="F16" s="227">
        <v>272</v>
      </c>
      <c r="G16" s="227" t="b">
        <f t="shared" si="0"/>
        <v>0</v>
      </c>
      <c r="H16" s="228">
        <f>IF(G16=TRUE,($H$7-B16)*D16+F16,0)</f>
        <v>0</v>
      </c>
    </row>
    <row r="17" spans="2:8" ht="27.75">
      <c r="B17" s="23">
        <v>2300</v>
      </c>
      <c r="C17" s="23" t="s">
        <v>1</v>
      </c>
      <c r="D17" s="24">
        <v>0.39</v>
      </c>
      <c r="E17" s="229" t="s">
        <v>136</v>
      </c>
      <c r="F17" s="227">
        <v>773</v>
      </c>
      <c r="G17" s="227" t="b">
        <f t="shared" si="0"/>
        <v>0</v>
      </c>
      <c r="H17" s="228">
        <f>IF(G17=TRUE,($H$7-B17)*D17+F17,0)</f>
        <v>0</v>
      </c>
    </row>
    <row r="18" ht="12.75" thickBot="1">
      <c r="H18" s="225">
        <f>SUM(H12:H17)</f>
        <v>0</v>
      </c>
    </row>
    <row r="19" spans="2:3" ht="12">
      <c r="B19" s="33" t="s">
        <v>7</v>
      </c>
      <c r="C19" s="10"/>
    </row>
    <row r="20" spans="2:3" ht="12">
      <c r="B20" s="10"/>
      <c r="C20" s="10"/>
    </row>
    <row r="21" spans="2:3" ht="12">
      <c r="B21" s="10"/>
      <c r="C21" s="10"/>
    </row>
    <row r="22" ht="12">
      <c r="F22" s="4"/>
    </row>
    <row r="23" spans="2:4" ht="12">
      <c r="B23" t="s">
        <v>62</v>
      </c>
      <c r="D23" s="9">
        <f>+PROC1!E34</f>
        <v>0</v>
      </c>
    </row>
    <row r="24" spans="2:4" ht="12">
      <c r="B24" t="s">
        <v>63</v>
      </c>
      <c r="D24" s="9">
        <f>+IF((C32&gt;C28),(C28-C30),(C31))</f>
        <v>0</v>
      </c>
    </row>
    <row r="25" spans="2:4" ht="12.75">
      <c r="B25" s="46" t="s">
        <v>65</v>
      </c>
      <c r="C25" s="46"/>
      <c r="D25" s="47">
        <f>+D23-D24</f>
        <v>0</v>
      </c>
    </row>
    <row r="28" spans="2:3" ht="12">
      <c r="B28" t="s">
        <v>64</v>
      </c>
      <c r="C28" s="9">
        <f>240*PROC1!I14</f>
        <v>8224800</v>
      </c>
    </row>
    <row r="30" spans="2:3" ht="12">
      <c r="B30" s="45" t="s">
        <v>139</v>
      </c>
      <c r="C30" s="9">
        <f>+PROC1!I78</f>
        <v>0</v>
      </c>
    </row>
    <row r="31" spans="2:3" ht="12">
      <c r="B31" s="45" t="s">
        <v>85</v>
      </c>
      <c r="C31" s="11">
        <f>+D23*0.25</f>
        <v>0</v>
      </c>
    </row>
    <row r="32" spans="2:4" ht="12.75">
      <c r="B32" s="46" t="s">
        <v>86</v>
      </c>
      <c r="C32" s="184">
        <f>SUM(C30:C31)</f>
        <v>0</v>
      </c>
      <c r="D32" s="11"/>
    </row>
    <row r="36" spans="3:4" ht="12">
      <c r="C36" s="12"/>
      <c r="D36" s="9"/>
    </row>
  </sheetData>
  <sheetProtection password="CAE7" sheet="1"/>
  <mergeCells count="8">
    <mergeCell ref="G9:G10"/>
    <mergeCell ref="H9:H10"/>
    <mergeCell ref="C3:E3"/>
    <mergeCell ref="B6:E6"/>
    <mergeCell ref="B9:C9"/>
    <mergeCell ref="D9:D10"/>
    <mergeCell ref="E9:E10"/>
    <mergeCell ref="F9:F10"/>
  </mergeCells>
  <printOptions horizontalCentered="1" verticalCentered="1"/>
  <pageMargins left="0.7874015748031497" right="0.7874015748031497" top="0.984251968503937" bottom="0.984251968503937" header="0" footer="0"/>
  <pageSetup horizontalDpi="600" verticalDpi="600" orientation="landscape" paperSize="119" scale="90" r:id="rId2"/>
  <drawing r:id="rId1"/>
</worksheet>
</file>

<file path=xl/worksheets/sheet6.xml><?xml version="1.0" encoding="utf-8"?>
<worksheet xmlns="http://schemas.openxmlformats.org/spreadsheetml/2006/main" xmlns:r="http://schemas.openxmlformats.org/officeDocument/2006/relationships">
  <sheetPr codeName="Hoja4"/>
  <dimension ref="A1:A1"/>
  <sheetViews>
    <sheetView zoomScalePageLayoutView="0" workbookViewId="0" topLeftCell="A1">
      <selection activeCell="D11" sqref="D11"/>
    </sheetView>
  </sheetViews>
  <sheetFormatPr defaultColWidth="11.57421875" defaultRowHeight="12.75"/>
  <cols>
    <col min="1" max="16384" width="11.57421875" style="45" customWidth="1"/>
  </cols>
  <sheetData/>
  <sheetProtection password="CAE7" sheet="1"/>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DUSSAN SALAZAR</dc:creator>
  <cp:keywords/>
  <dc:description>APLICATIVO RENTA EN SALARIOS
Derechos reservados WILLIAM DUSSAN SALAZAR 2009</dc:description>
  <cp:lastModifiedBy>William Dussan</cp:lastModifiedBy>
  <cp:lastPrinted>2016-01-25T01:21:11Z</cp:lastPrinted>
  <dcterms:created xsi:type="dcterms:W3CDTF">2008-06-25T16:51:19Z</dcterms:created>
  <dcterms:modified xsi:type="dcterms:W3CDTF">2021-09-28T21:42:29Z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