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 codeName="{C5BBEA04-B48B-DB03-FC8F-E18A6752861A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illiam Dussan\Dropbox\Aplicativos consultor\"/>
    </mc:Choice>
  </mc:AlternateContent>
  <xr:revisionPtr revIDLastSave="0" documentId="13_ncr:1_{245C07D3-3450-4C5C-8BFF-8050B2B6C01F}" xr6:coauthVersionLast="47" xr6:coauthVersionMax="47" xr10:uidLastSave="{00000000-0000-0000-0000-000000000000}"/>
  <bookViews>
    <workbookView xWindow="-110" yWindow="-110" windowWidth="19420" windowHeight="10420" tabRatio="754" firstSheet="6" activeTab="6" xr2:uid="{00000000-000D-0000-FFFF-FFFF00000000}"/>
  </bookViews>
  <sheets>
    <sheet name="TARIFAS IMPUESTO" sheetId="1" state="hidden" r:id="rId1"/>
    <sheet name="Consolidado Impuesto" sheetId="5" state="hidden" r:id="rId2"/>
    <sheet name="TARIFAS ANTICIPO" sheetId="6" state="hidden" r:id="rId3"/>
    <sheet name="Consolidado anticipo" sheetId="7" state="hidden" r:id="rId4"/>
    <sheet name="TARIFAS ICA" sheetId="3" state="hidden" r:id="rId5"/>
    <sheet name="TARIFAS IMPUESTO (2)" sheetId="4" state="hidden" r:id="rId6"/>
    <sheet name="Simulador" sheetId="8" r:id="rId7"/>
    <sheet name="Grupo de actividades" sheetId="10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8" l="1"/>
  <c r="E13" i="8" l="1"/>
  <c r="F46" i="8" l="1"/>
  <c r="E33" i="8" l="1"/>
  <c r="F47" i="8" l="1"/>
  <c r="I15" i="8" s="1"/>
  <c r="F50" i="8"/>
  <c r="I16" i="8" s="1"/>
  <c r="I10" i="8" l="1"/>
  <c r="I11" i="8" s="1"/>
  <c r="I9" i="8"/>
  <c r="I12" i="8" l="1"/>
  <c r="D19" i="8"/>
  <c r="E31" i="8"/>
  <c r="D31" i="8"/>
  <c r="E30" i="8"/>
  <c r="D30" i="8"/>
  <c r="J30" i="8" s="1"/>
  <c r="E29" i="8"/>
  <c r="D29" i="8"/>
  <c r="E28" i="8"/>
  <c r="D28" i="8"/>
  <c r="K19" i="4"/>
  <c r="K18" i="4"/>
  <c r="K17" i="4"/>
  <c r="K31" i="8" l="1"/>
  <c r="L28" i="8"/>
  <c r="L31" i="8"/>
  <c r="M28" i="8"/>
  <c r="M29" i="8"/>
  <c r="K30" i="8"/>
  <c r="J28" i="8"/>
  <c r="J29" i="8"/>
  <c r="J31" i="8"/>
  <c r="K28" i="8"/>
  <c r="K29" i="8"/>
  <c r="L30" i="8"/>
  <c r="M31" i="8"/>
  <c r="L29" i="8"/>
  <c r="M30" i="8"/>
  <c r="N17" i="4"/>
  <c r="M32" i="8" l="1"/>
  <c r="E40" i="8" s="1"/>
  <c r="L32" i="8"/>
  <c r="J32" i="8"/>
  <c r="K32" i="8"/>
  <c r="M63" i="1"/>
  <c r="M64" i="1"/>
  <c r="M65" i="1"/>
  <c r="M62" i="1"/>
  <c r="E10" i="7"/>
  <c r="D10" i="7"/>
  <c r="E9" i="7"/>
  <c r="D9" i="7"/>
  <c r="E8" i="7"/>
  <c r="D8" i="7"/>
  <c r="E7" i="7"/>
  <c r="D7" i="7"/>
  <c r="J65" i="6"/>
  <c r="J64" i="6"/>
  <c r="J63" i="6"/>
  <c r="J62" i="6"/>
  <c r="F62" i="6"/>
  <c r="E33" i="6"/>
  <c r="G65" i="6" s="1"/>
  <c r="F31" i="6"/>
  <c r="G30" i="6"/>
  <c r="G14" i="6"/>
  <c r="F14" i="6"/>
  <c r="B13" i="6" s="1"/>
  <c r="G13" i="6"/>
  <c r="F13" i="6"/>
  <c r="G12" i="6"/>
  <c r="F12" i="6"/>
  <c r="G11" i="6"/>
  <c r="F11" i="6"/>
  <c r="J63" i="1"/>
  <c r="J64" i="1"/>
  <c r="J65" i="1"/>
  <c r="J62" i="1"/>
  <c r="F45" i="6" l="1"/>
  <c r="G63" i="6"/>
  <c r="F28" i="6"/>
  <c r="G45" i="6"/>
  <c r="G28" i="6"/>
  <c r="F47" i="6"/>
  <c r="G64" i="6"/>
  <c r="F63" i="6"/>
  <c r="F29" i="6"/>
  <c r="G47" i="6"/>
  <c r="F30" i="6"/>
  <c r="E50" i="6"/>
  <c r="E67" i="6" s="1"/>
  <c r="I32" i="8"/>
  <c r="E39" i="8"/>
  <c r="H32" i="8"/>
  <c r="E38" i="8"/>
  <c r="G32" i="8"/>
  <c r="E37" i="8"/>
  <c r="H14" i="8" s="1"/>
  <c r="I14" i="8" s="1"/>
  <c r="I17" i="8" s="1"/>
  <c r="F32" i="8"/>
  <c r="B12" i="6"/>
  <c r="B11" i="6"/>
  <c r="B14" i="6" s="1"/>
  <c r="G29" i="6"/>
  <c r="G31" i="6"/>
  <c r="F46" i="6"/>
  <c r="F48" i="6"/>
  <c r="G62" i="6"/>
  <c r="F65" i="6"/>
  <c r="G46" i="6"/>
  <c r="G48" i="6"/>
  <c r="F64" i="6"/>
  <c r="E7" i="5"/>
  <c r="E8" i="5"/>
  <c r="E9" i="5"/>
  <c r="E10" i="5"/>
  <c r="D8" i="5"/>
  <c r="D9" i="5"/>
  <c r="D10" i="5"/>
  <c r="D7" i="5"/>
  <c r="F64" i="1" l="1"/>
  <c r="G63" i="1"/>
  <c r="F63" i="1"/>
  <c r="G62" i="1"/>
  <c r="E33" i="1"/>
  <c r="F62" i="1" s="1"/>
  <c r="F48" i="1"/>
  <c r="G47" i="1"/>
  <c r="F47" i="1"/>
  <c r="G46" i="1"/>
  <c r="F45" i="1"/>
  <c r="F29" i="1"/>
  <c r="F30" i="1"/>
  <c r="F31" i="1"/>
  <c r="F28" i="1"/>
  <c r="G29" i="1"/>
  <c r="G28" i="1"/>
  <c r="F70" i="4"/>
  <c r="E70" i="4"/>
  <c r="F69" i="4"/>
  <c r="E69" i="4"/>
  <c r="F68" i="4"/>
  <c r="E68" i="4"/>
  <c r="F67" i="4"/>
  <c r="E67" i="4"/>
  <c r="F44" i="4"/>
  <c r="E44" i="4"/>
  <c r="F43" i="4"/>
  <c r="E43" i="4"/>
  <c r="F42" i="4"/>
  <c r="E42" i="4"/>
  <c r="F41" i="4"/>
  <c r="E41" i="4"/>
  <c r="K20" i="4"/>
  <c r="L25" i="4" s="1"/>
  <c r="F20" i="4"/>
  <c r="E20" i="4"/>
  <c r="B19" i="4" s="1"/>
  <c r="F19" i="4"/>
  <c r="E19" i="4"/>
  <c r="B18" i="4" s="1"/>
  <c r="F18" i="4"/>
  <c r="E18" i="4"/>
  <c r="B17" i="4" s="1"/>
  <c r="F17" i="4"/>
  <c r="E17" i="4"/>
  <c r="B16" i="4" s="1"/>
  <c r="G48" i="1" l="1"/>
  <c r="G64" i="1"/>
  <c r="K21" i="4"/>
  <c r="F65" i="1"/>
  <c r="G31" i="1"/>
  <c r="G45" i="1"/>
  <c r="E50" i="1"/>
  <c r="E67" i="1" s="1"/>
  <c r="G65" i="1"/>
  <c r="G30" i="1"/>
  <c r="F46" i="1"/>
  <c r="P13" i="8"/>
  <c r="B20" i="4"/>
  <c r="J25" i="4" s="1"/>
  <c r="K25" i="4" s="1"/>
  <c r="K27" i="4" s="1"/>
  <c r="O14" i="8" l="1"/>
  <c r="O13" i="8"/>
  <c r="F12" i="1"/>
  <c r="G12" i="1"/>
  <c r="F13" i="1"/>
  <c r="G13" i="1"/>
  <c r="F14" i="1"/>
  <c r="G14" i="1"/>
  <c r="G11" i="1"/>
  <c r="F11" i="1"/>
  <c r="B13" i="1" l="1"/>
  <c r="B11" i="1"/>
  <c r="B12" i="1"/>
  <c r="B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 Dussan</author>
  </authors>
  <commentList>
    <comment ref="D12" authorId="0" shapeId="0" xr:uid="{7C62680F-B46E-4BBE-B640-9FC12A98A0FF}">
      <text>
        <r>
          <rPr>
            <b/>
            <sz val="9"/>
            <color indexed="81"/>
            <rFont val="Tahoma"/>
            <family val="2"/>
          </rPr>
          <t>Este simulador está diseñado para trabajar el análisis de dos formas: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1. Usando un margen:</t>
        </r>
        <r>
          <rPr>
            <sz val="9"/>
            <color indexed="81"/>
            <rFont val="Tahoma"/>
            <family val="2"/>
          </rPr>
          <t xml:space="preserve"> Para esto digite el ingreso anual, y el % de margen sobre ingresos que normalmente maneja año tras año,  y dele clic al boton con el simbolo $. (Lo que hace el aplicativo es multiplicar el ingreso por el % de margen para determinar una renta líquida para determinar cuanto pagaría por régimen ordinario en renta.
</t>
        </r>
        <r>
          <rPr>
            <b/>
            <sz val="9"/>
            <color indexed="81"/>
            <rFont val="Tahoma"/>
            <family val="2"/>
          </rPr>
          <t>2. Digitando directamente la renta líquid</t>
        </r>
        <r>
          <rPr>
            <sz val="9"/>
            <color indexed="81"/>
            <rFont val="Tahoma"/>
            <family val="2"/>
          </rPr>
          <t>a: Para esto solo basta con digitar el valor de la renta líquida y ya.. podría en este caso dejar las celdas de ingresos anuales y la de Margen % en blanco.. 
Si luego de usar esta ultima alternativo decide manejar nuevamente marge, digite de nuevo los ingresos el % de margen y de clic en el boton con el simbolo $, esto lo que hace es nuevamente formular la celda de a renta líquida.</t>
        </r>
      </text>
    </comment>
  </commentList>
</comments>
</file>

<file path=xl/sharedStrings.xml><?xml version="1.0" encoding="utf-8"?>
<sst xmlns="http://schemas.openxmlformats.org/spreadsheetml/2006/main" count="207" uniqueCount="80">
  <si>
    <t>TARIFAS</t>
  </si>
  <si>
    <t xml:space="preserve">1. Actividades comerciales al por mayor y detal, incluidas las tiendas de barrio, mini-mercados y micro-mercados; servicios técnicos y mecánicos en los que predomina el factor material sobre el intelectual, incluidos las peluquerías, los electricistas, los albañiles, los servicios de construcción y los talleres mecánicos de vehículos y electrodomésticos; actividades industriales, incluidas las de agro-industria, mini-industria y micro-industria; y las demás actividades no incluidas en los siguientes numerales: </t>
  </si>
  <si>
    <t>REGIMEN SIMPLE DE TRIBUTACIÓN</t>
  </si>
  <si>
    <t>INGRESOS BRUTOS ANUALES</t>
  </si>
  <si>
    <t>IGUAL O SUPERIOR</t>
  </si>
  <si>
    <t>INFERIOR</t>
  </si>
  <si>
    <t>UVT</t>
  </si>
  <si>
    <t>$</t>
  </si>
  <si>
    <t>UVT 2019</t>
  </si>
  <si>
    <t>TARIFA</t>
  </si>
  <si>
    <t>%</t>
  </si>
  <si>
    <t>2. Servicios profesionales, de consultoría y científicos en los que predomine el factor intelectual sobre el material, incluidos los servicios de profesiones liberales:</t>
  </si>
  <si>
    <t>3. Servicio de restaurante, incluidos los servicios de cafetería, bar y “catering”:</t>
  </si>
  <si>
    <t>Tarifa por Mil</t>
  </si>
  <si>
    <t>BOGOTÁ</t>
  </si>
  <si>
    <t>INGRESOS</t>
  </si>
  <si>
    <t>RENTA LIQUIDA</t>
  </si>
  <si>
    <t>IMPUESTO SIMPLE</t>
  </si>
  <si>
    <t>TOTAL IMPUESTO</t>
  </si>
  <si>
    <t>ICA + AVISOS Y T</t>
  </si>
  <si>
    <t>Margen neto</t>
  </si>
  <si>
    <t>Margen real</t>
  </si>
  <si>
    <t>IMPUESTO RENTA</t>
  </si>
  <si>
    <t>Diferencia</t>
  </si>
  <si>
    <t>Servicios profesinales</t>
  </si>
  <si>
    <t>Restaurantes, bar</t>
  </si>
  <si>
    <t>IPOCONSUMO</t>
  </si>
  <si>
    <t>1. Tiendas pequeñas, mini-mercados y micro-mercados y peluquerías</t>
  </si>
  <si>
    <t>Ingresos Brutos anuales</t>
  </si>
  <si>
    <t>Inferior (UVT)</t>
  </si>
  <si>
    <t>Inferior ($)</t>
  </si>
  <si>
    <t>Tarifa simple consolidada</t>
  </si>
  <si>
    <t>2. Actividades comerciales al por mayor y detal; servicios técnicos y mecánicos en los que predomina el factor material sobre el intelectual, los electricistas, los albañiles, los servicios de construcción y los talleres mecánicos de vehículos y electrodomésticos; actividades industriales, incluidas las de agro-industria, mini- industria y micro-industria; actividades de telecomunicaciones y las demás actividades no incluidas en los siguientes numerales:</t>
  </si>
  <si>
    <t>3. Servicios profesionales, de consultoría y científicos en los que predomine el factor intelectual sobre el material, incluidos los servicios de profesiones liberales:</t>
  </si>
  <si>
    <t>4. Actividades de expendio de comidas y bebidas, y actividades de transporte.</t>
  </si>
  <si>
    <t>Igual o superior (UVT)</t>
  </si>
  <si>
    <t>Igual o superior ($)</t>
  </si>
  <si>
    <t>Tarifa actividades 1</t>
  </si>
  <si>
    <t>Tarifa actividades 2</t>
  </si>
  <si>
    <t>Tarifa actividades 3</t>
  </si>
  <si>
    <t>Tarifa actividades 4</t>
  </si>
  <si>
    <t>Tarifa impuesto al consumo</t>
  </si>
  <si>
    <t>Total tarifa simple consolidada</t>
  </si>
  <si>
    <t>Tarifa simple consolidada bimestral</t>
  </si>
  <si>
    <t>Ingresos Brutos Bimestrales</t>
  </si>
  <si>
    <t>Ingresos Brutos bimestrales</t>
  </si>
  <si>
    <t xml:space="preserve"> </t>
  </si>
  <si>
    <t>Ingresos anuales</t>
  </si>
  <si>
    <t>Margen  %</t>
  </si>
  <si>
    <t>T1</t>
  </si>
  <si>
    <t>T2</t>
  </si>
  <si>
    <t>T3</t>
  </si>
  <si>
    <t>T4</t>
  </si>
  <si>
    <t>Valor UVT</t>
  </si>
  <si>
    <t>Grupo de Actividades</t>
  </si>
  <si>
    <t>SIMULADOR IMPUESTO UNIFICADO BAJO EL RÉGIMEN SIMPLE DE TRIBUTACIÓN - SIMPLE</t>
  </si>
  <si>
    <t>Categoria</t>
  </si>
  <si>
    <t xml:space="preserve">3. Servicios profesionales, de consultoría y científicos en los que predomine el factor intelectual </t>
  </si>
  <si>
    <t>Renta líquida</t>
  </si>
  <si>
    <t>Impuesto renta</t>
  </si>
  <si>
    <t>TOTAL IMPUESTO REGIMEN ORDINARIO</t>
  </si>
  <si>
    <t>Diseño: William Dussán Salazar</t>
  </si>
  <si>
    <t>www.consultorcontable.com</t>
  </si>
  <si>
    <t>ICA (x mil)</t>
  </si>
  <si>
    <t>Avisos y tableros</t>
  </si>
  <si>
    <t>Margen utilizado</t>
  </si>
  <si>
    <t>Descuento tributario Ap. Pensión</t>
  </si>
  <si>
    <t>Pago de salarios</t>
  </si>
  <si>
    <t>Aporte pensión por parte del empleador</t>
  </si>
  <si>
    <t>Ingresos recaudados por medios electrónicos</t>
  </si>
  <si>
    <t>Descuento tributario TC, TD ..</t>
  </si>
  <si>
    <t>Descuento tributario 0.5% del ingreso</t>
  </si>
  <si>
    <t xml:space="preserve">Impuesto Simple </t>
  </si>
  <si>
    <t>*Para la categoría N. 4 se debe sumar el 8% de Impuesto al consumo.. Para el ejercicio no se tiene en cuenta dado que en cualquiera de los dos regimenes se debe pagar.</t>
  </si>
  <si>
    <t xml:space="preserve">UVT </t>
  </si>
  <si>
    <t>ACTUALIZADO CON LA LEY 2155 DE2021</t>
  </si>
  <si>
    <t>TOTAL IMPUESTO R. SIMPLE</t>
  </si>
  <si>
    <t>de lo contrario digite la renta líquida directamente</t>
  </si>
  <si>
    <t>El botón $ es para  analizar el caso usando margen,</t>
  </si>
  <si>
    <t>DESCUENTOS TRIBUTARIOS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</si>
</sst>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0.0%"/>
  </numFmts>
  <fonts count="29" x14ac:knownFonts="1">
    <font>
      <sz val="8"/>
      <color theme="1"/>
      <name val="Tahoma"/>
      <family val="2"/>
    </font>
    <font>
      <sz val="8"/>
      <color theme="1"/>
      <name val="Tahoma"/>
      <family val="2"/>
    </font>
    <font>
      <sz val="8"/>
      <color rgb="FFFF0000"/>
      <name val="Tahoma"/>
      <family val="2"/>
    </font>
    <font>
      <b/>
      <sz val="8"/>
      <color theme="1"/>
      <name val="Tahoma"/>
      <family val="2"/>
    </font>
    <font>
      <sz val="8"/>
      <color theme="0"/>
      <name val="Tahoma"/>
      <family val="2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Arial"/>
      <family val="2"/>
    </font>
    <font>
      <sz val="7"/>
      <color theme="1"/>
      <name val="Tahoma"/>
      <family val="2"/>
    </font>
    <font>
      <b/>
      <sz val="8"/>
      <color rgb="FFFF0000"/>
      <name val="Tahoma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sz val="14"/>
      <color theme="0"/>
      <name val="Arial"/>
      <family val="2"/>
    </font>
    <font>
      <b/>
      <sz val="9"/>
      <color theme="1"/>
      <name val="Arial"/>
      <family val="2"/>
    </font>
    <font>
      <sz val="10"/>
      <color theme="8" tint="-0.249977111117893"/>
      <name val="Tahoma"/>
      <family val="2"/>
    </font>
    <font>
      <sz val="12"/>
      <color rgb="FF002060"/>
      <name val="Tahoma"/>
      <family val="2"/>
    </font>
    <font>
      <sz val="11"/>
      <name val="Tahoma"/>
      <family val="2"/>
    </font>
    <font>
      <sz val="11"/>
      <color rgb="FFFF0000"/>
      <name val="Tahoma"/>
      <family val="2"/>
    </font>
    <font>
      <u/>
      <sz val="8"/>
      <color theme="10"/>
      <name val="Tahoma"/>
      <family val="2"/>
    </font>
    <font>
      <sz val="11"/>
      <color rgb="FFFF0000"/>
      <name val="Arial"/>
      <family val="2"/>
    </font>
    <font>
      <sz val="10"/>
      <color rgb="FFFF0000"/>
      <name val="Tahoma"/>
      <family val="2"/>
    </font>
    <font>
      <b/>
      <sz val="11"/>
      <color rgb="FF00B05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68">
    <xf numFmtId="0" fontId="0" fillId="0" borderId="0" xfId="0"/>
    <xf numFmtId="43" fontId="0" fillId="0" borderId="0" xfId="1" applyFont="1"/>
    <xf numFmtId="164" fontId="0" fillId="0" borderId="0" xfId="1" applyNumberFormat="1" applyFont="1"/>
    <xf numFmtId="164" fontId="0" fillId="0" borderId="1" xfId="1" applyNumberFormat="1" applyFont="1" applyBorder="1"/>
    <xf numFmtId="165" fontId="0" fillId="0" borderId="1" xfId="2" applyNumberFormat="1" applyFont="1" applyBorder="1"/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165" fontId="0" fillId="5" borderId="1" xfId="2" applyNumberFormat="1" applyFont="1" applyFill="1" applyBorder="1" applyAlignment="1">
      <alignment horizontal="center"/>
    </xf>
    <xf numFmtId="0" fontId="3" fillId="0" borderId="0" xfId="0" applyFont="1"/>
    <xf numFmtId="0" fontId="5" fillId="0" borderId="0" xfId="0" applyFont="1"/>
    <xf numFmtId="0" fontId="3" fillId="6" borderId="1" xfId="0" applyFont="1" applyFill="1" applyBorder="1"/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165" fontId="0" fillId="6" borderId="1" xfId="2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165" fontId="0" fillId="4" borderId="1" xfId="2" applyNumberFormat="1" applyFont="1" applyFill="1" applyBorder="1" applyAlignment="1">
      <alignment horizontal="center"/>
    </xf>
    <xf numFmtId="10" fontId="0" fillId="0" borderId="0" xfId="2" applyNumberFormat="1" applyFont="1"/>
    <xf numFmtId="43" fontId="7" fillId="0" borderId="1" xfId="1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left"/>
    </xf>
    <xf numFmtId="165" fontId="8" fillId="0" borderId="0" xfId="2" applyNumberFormat="1" applyFont="1"/>
    <xf numFmtId="0" fontId="0" fillId="0" borderId="0" xfId="0" applyAlignment="1">
      <alignment horizontal="right"/>
    </xf>
    <xf numFmtId="0" fontId="2" fillId="0" borderId="0" xfId="0" applyFont="1"/>
    <xf numFmtId="164" fontId="2" fillId="0" borderId="0" xfId="0" applyNumberFormat="1" applyFont="1"/>
    <xf numFmtId="165" fontId="4" fillId="0" borderId="0" xfId="2" applyNumberFormat="1" applyFont="1"/>
    <xf numFmtId="165" fontId="4" fillId="0" borderId="0" xfId="0" applyNumberFormat="1" applyFont="1"/>
    <xf numFmtId="164" fontId="0" fillId="4" borderId="0" xfId="1" applyNumberFormat="1" applyFont="1" applyFill="1"/>
    <xf numFmtId="9" fontId="0" fillId="7" borderId="5" xfId="0" applyNumberFormat="1" applyFill="1" applyBorder="1" applyAlignment="1">
      <alignment horizontal="left"/>
    </xf>
    <xf numFmtId="9" fontId="0" fillId="3" borderId="6" xfId="0" applyNumberFormat="1" applyFill="1" applyBorder="1" applyAlignment="1">
      <alignment horizontal="center"/>
    </xf>
    <xf numFmtId="164" fontId="0" fillId="3" borderId="7" xfId="1" applyNumberFormat="1" applyFont="1" applyFill="1" applyBorder="1"/>
    <xf numFmtId="0" fontId="0" fillId="7" borderId="8" xfId="0" applyFill="1" applyBorder="1" applyAlignment="1">
      <alignment horizontal="left"/>
    </xf>
    <xf numFmtId="165" fontId="0" fillId="2" borderId="0" xfId="0" applyNumberFormat="1" applyFill="1" applyBorder="1" applyAlignment="1">
      <alignment horizontal="center"/>
    </xf>
    <xf numFmtId="164" fontId="0" fillId="3" borderId="9" xfId="1" applyNumberFormat="1" applyFont="1" applyFill="1" applyBorder="1"/>
    <xf numFmtId="0" fontId="3" fillId="3" borderId="2" xfId="0" applyFont="1" applyFill="1" applyBorder="1" applyAlignment="1">
      <alignment horizontal="left"/>
    </xf>
    <xf numFmtId="165" fontId="3" fillId="3" borderId="3" xfId="2" applyNumberFormat="1" applyFont="1" applyFill="1" applyBorder="1" applyAlignment="1">
      <alignment horizontal="center"/>
    </xf>
    <xf numFmtId="164" fontId="3" fillId="3" borderId="4" xfId="1" applyNumberFormat="1" applyFont="1" applyFill="1" applyBorder="1"/>
    <xf numFmtId="164" fontId="3" fillId="3" borderId="3" xfId="1" applyNumberFormat="1" applyFont="1" applyFill="1" applyBorder="1"/>
    <xf numFmtId="0" fontId="9" fillId="0" borderId="0" xfId="0" applyFont="1"/>
    <xf numFmtId="0" fontId="7" fillId="0" borderId="0" xfId="0" applyFont="1"/>
    <xf numFmtId="0" fontId="10" fillId="0" borderId="0" xfId="0" applyFont="1"/>
    <xf numFmtId="165" fontId="11" fillId="0" borderId="0" xfId="2" applyNumberFormat="1" applyFont="1"/>
    <xf numFmtId="164" fontId="7" fillId="0" borderId="1" xfId="1" applyNumberFormat="1" applyFont="1" applyBorder="1"/>
    <xf numFmtId="165" fontId="7" fillId="0" borderId="1" xfId="2" applyNumberFormat="1" applyFont="1" applyBorder="1"/>
    <xf numFmtId="165" fontId="11" fillId="0" borderId="0" xfId="0" applyNumberFormat="1" applyFont="1"/>
    <xf numFmtId="164" fontId="7" fillId="0" borderId="0" xfId="1" applyNumberFormat="1" applyFont="1"/>
    <xf numFmtId="0" fontId="10" fillId="8" borderId="1" xfId="0" applyFont="1" applyFill="1" applyBorder="1" applyAlignment="1">
      <alignment horizontal="center" vertical="center" wrapText="1"/>
    </xf>
    <xf numFmtId="0" fontId="0" fillId="0" borderId="9" xfId="0" applyBorder="1"/>
    <xf numFmtId="41" fontId="0" fillId="0" borderId="0" xfId="3" applyFont="1"/>
    <xf numFmtId="41" fontId="7" fillId="0" borderId="0" xfId="3" applyFont="1"/>
    <xf numFmtId="164" fontId="6" fillId="2" borderId="0" xfId="1" applyNumberFormat="1" applyFont="1" applyFill="1" applyBorder="1"/>
    <xf numFmtId="0" fontId="7" fillId="2" borderId="0" xfId="0" applyFont="1" applyFill="1"/>
    <xf numFmtId="0" fontId="0" fillId="2" borderId="0" xfId="0" applyFill="1"/>
    <xf numFmtId="0" fontId="6" fillId="2" borderId="0" xfId="0" applyFont="1" applyFill="1"/>
    <xf numFmtId="164" fontId="6" fillId="2" borderId="0" xfId="1" applyNumberFormat="1" applyFont="1" applyFill="1"/>
    <xf numFmtId="0" fontId="0" fillId="2" borderId="0" xfId="0" applyFill="1" applyBorder="1"/>
    <xf numFmtId="0" fontId="0" fillId="2" borderId="9" xfId="0" applyFill="1" applyBorder="1"/>
    <xf numFmtId="164" fontId="7" fillId="2" borderId="1" xfId="1" applyNumberFormat="1" applyFont="1" applyFill="1" applyBorder="1"/>
    <xf numFmtId="165" fontId="7" fillId="2" borderId="1" xfId="2" applyNumberFormat="1" applyFont="1" applyFill="1" applyBorder="1"/>
    <xf numFmtId="164" fontId="7" fillId="2" borderId="0" xfId="1" applyNumberFormat="1" applyFont="1" applyFill="1"/>
    <xf numFmtId="0" fontId="11" fillId="10" borderId="0" xfId="0" applyFont="1" applyFill="1"/>
    <xf numFmtId="0" fontId="15" fillId="10" borderId="0" xfId="0" applyFont="1" applyFill="1"/>
    <xf numFmtId="0" fontId="0" fillId="10" borderId="0" xfId="0" applyFill="1"/>
    <xf numFmtId="0" fontId="14" fillId="6" borderId="1" xfId="0" applyFont="1" applyFill="1" applyBorder="1" applyAlignment="1">
      <alignment horizontal="center" vertical="center" wrapText="1"/>
    </xf>
    <xf numFmtId="0" fontId="7" fillId="2" borderId="0" xfId="0" applyFont="1" applyFill="1" applyAlignment="1"/>
    <xf numFmtId="0" fontId="13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/>
    </xf>
    <xf numFmtId="164" fontId="7" fillId="2" borderId="1" xfId="1" applyNumberFormat="1" applyFont="1" applyFill="1" applyBorder="1" applyAlignment="1" applyProtection="1">
      <alignment horizontal="right"/>
      <protection locked="0"/>
    </xf>
    <xf numFmtId="164" fontId="7" fillId="2" borderId="1" xfId="1" applyNumberFormat="1" applyFont="1" applyFill="1" applyBorder="1" applyProtection="1">
      <protection locked="0"/>
    </xf>
    <xf numFmtId="164" fontId="7" fillId="3" borderId="7" xfId="1" applyNumberFormat="1" applyFont="1" applyFill="1" applyBorder="1"/>
    <xf numFmtId="164" fontId="7" fillId="3" borderId="9" xfId="1" applyNumberFormat="1" applyFont="1" applyFill="1" applyBorder="1"/>
    <xf numFmtId="164" fontId="10" fillId="3" borderId="4" xfId="1" applyNumberFormat="1" applyFont="1" applyFill="1" applyBorder="1"/>
    <xf numFmtId="9" fontId="7" fillId="3" borderId="5" xfId="0" applyNumberFormat="1" applyFont="1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7" fillId="3" borderId="1" xfId="0" applyFont="1" applyFill="1" applyBorder="1"/>
    <xf numFmtId="165" fontId="0" fillId="2" borderId="0" xfId="0" applyNumberFormat="1" applyFill="1"/>
    <xf numFmtId="165" fontId="10" fillId="11" borderId="1" xfId="2" applyNumberFormat="1" applyFont="1" applyFill="1" applyBorder="1"/>
    <xf numFmtId="164" fontId="0" fillId="2" borderId="0" xfId="1" applyNumberFormat="1" applyFont="1" applyFill="1"/>
    <xf numFmtId="0" fontId="20" fillId="2" borderId="0" xfId="0" applyFont="1" applyFill="1" applyBorder="1"/>
    <xf numFmtId="0" fontId="22" fillId="2" borderId="0" xfId="4" applyFill="1"/>
    <xf numFmtId="165" fontId="7" fillId="2" borderId="1" xfId="2" applyNumberFormat="1" applyFont="1" applyFill="1" applyBorder="1" applyProtection="1">
      <protection locked="0"/>
    </xf>
    <xf numFmtId="43" fontId="0" fillId="2" borderId="0" xfId="0" applyNumberFormat="1" applyFill="1"/>
    <xf numFmtId="9" fontId="7" fillId="2" borderId="0" xfId="1" applyNumberFormat="1" applyFont="1" applyFill="1" applyBorder="1" applyAlignment="1" applyProtection="1">
      <alignment horizontal="right"/>
      <protection locked="0"/>
    </xf>
    <xf numFmtId="9" fontId="7" fillId="2" borderId="6" xfId="0" applyNumberFormat="1" applyFont="1" applyFill="1" applyBorder="1" applyAlignment="1" applyProtection="1">
      <alignment horizontal="right"/>
      <protection locked="0"/>
    </xf>
    <xf numFmtId="43" fontId="7" fillId="2" borderId="0" xfId="1" applyFont="1" applyFill="1" applyBorder="1" applyAlignment="1" applyProtection="1">
      <alignment horizontal="right"/>
      <protection locked="0"/>
    </xf>
    <xf numFmtId="165" fontId="0" fillId="2" borderId="0" xfId="2" applyNumberFormat="1" applyFont="1" applyFill="1"/>
    <xf numFmtId="165" fontId="7" fillId="9" borderId="1" xfId="2" applyNumberFormat="1" applyFont="1" applyFill="1" applyBorder="1"/>
    <xf numFmtId="0" fontId="17" fillId="3" borderId="2" xfId="0" applyFont="1" applyFill="1" applyBorder="1" applyAlignment="1">
      <alignment horizontal="left"/>
    </xf>
    <xf numFmtId="165" fontId="7" fillId="3" borderId="3" xfId="2" applyNumberFormat="1" applyFont="1" applyFill="1" applyBorder="1"/>
    <xf numFmtId="0" fontId="13" fillId="2" borderId="0" xfId="0" applyFont="1" applyFill="1"/>
    <xf numFmtId="0" fontId="13" fillId="3" borderId="2" xfId="0" applyFont="1" applyFill="1" applyBorder="1"/>
    <xf numFmtId="0" fontId="13" fillId="3" borderId="4" xfId="0" applyFont="1" applyFill="1" applyBorder="1"/>
    <xf numFmtId="0" fontId="13" fillId="3" borderId="12" xfId="0" applyFont="1" applyFill="1" applyBorder="1"/>
    <xf numFmtId="0" fontId="13" fillId="3" borderId="14" xfId="0" applyFont="1" applyFill="1" applyBorder="1"/>
    <xf numFmtId="0" fontId="13" fillId="3" borderId="3" xfId="0" applyFont="1" applyFill="1" applyBorder="1"/>
    <xf numFmtId="164" fontId="7" fillId="3" borderId="1" xfId="1" applyNumberFormat="1" applyFont="1" applyFill="1" applyBorder="1" applyAlignment="1">
      <alignment horizontal="left"/>
    </xf>
    <xf numFmtId="164" fontId="6" fillId="3" borderId="1" xfId="1" applyNumberFormat="1" applyFont="1" applyFill="1" applyBorder="1"/>
    <xf numFmtId="164" fontId="13" fillId="2" borderId="4" xfId="1" applyNumberFormat="1" applyFont="1" applyFill="1" applyBorder="1" applyProtection="1">
      <protection locked="0"/>
    </xf>
    <xf numFmtId="164" fontId="13" fillId="3" borderId="1" xfId="1" applyNumberFormat="1" applyFont="1" applyFill="1" applyBorder="1" applyProtection="1">
      <protection locked="0"/>
    </xf>
    <xf numFmtId="164" fontId="13" fillId="2" borderId="1" xfId="1" applyNumberFormat="1" applyFont="1" applyFill="1" applyBorder="1" applyProtection="1">
      <protection locked="0"/>
    </xf>
    <xf numFmtId="164" fontId="23" fillId="2" borderId="1" xfId="1" applyNumberFormat="1" applyFont="1" applyFill="1" applyBorder="1" applyProtection="1">
      <protection locked="0"/>
    </xf>
    <xf numFmtId="0" fontId="2" fillId="2" borderId="0" xfId="0" applyFont="1" applyFill="1"/>
    <xf numFmtId="0" fontId="24" fillId="2" borderId="0" xfId="0" applyFont="1" applyFill="1"/>
    <xf numFmtId="0" fontId="25" fillId="2" borderId="0" xfId="0" applyFont="1" applyFill="1"/>
    <xf numFmtId="0" fontId="0" fillId="14" borderId="0" xfId="0" applyFill="1"/>
    <xf numFmtId="164" fontId="10" fillId="15" borderId="3" xfId="1" applyNumberFormat="1" applyFont="1" applyFill="1" applyBorder="1"/>
    <xf numFmtId="164" fontId="10" fillId="15" borderId="4" xfId="1" applyNumberFormat="1" applyFont="1" applyFill="1" applyBorder="1"/>
    <xf numFmtId="0" fontId="17" fillId="15" borderId="2" xfId="0" applyFont="1" applyFill="1" applyBorder="1" applyAlignment="1">
      <alignment horizontal="left"/>
    </xf>
    <xf numFmtId="165" fontId="7" fillId="15" borderId="3" xfId="2" applyNumberFormat="1" applyFont="1" applyFill="1" applyBorder="1"/>
    <xf numFmtId="164" fontId="21" fillId="2" borderId="0" xfId="0" applyNumberFormat="1" applyFont="1" applyFill="1" applyBorder="1" applyProtection="1">
      <protection locked="0"/>
    </xf>
    <xf numFmtId="0" fontId="7" fillId="0" borderId="0" xfId="0" applyFont="1" applyAlignment="1">
      <alignment horizontal="left" vertical="center" wrapText="1"/>
    </xf>
    <xf numFmtId="0" fontId="10" fillId="8" borderId="2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16" fillId="10" borderId="0" xfId="0" applyFont="1" applyFill="1" applyAlignment="1">
      <alignment horizontal="center" vertical="center" wrapText="1"/>
    </xf>
    <xf numFmtId="0" fontId="18" fillId="2" borderId="5" xfId="0" applyFont="1" applyFill="1" applyBorder="1" applyAlignment="1">
      <alignment horizontal="left" vertical="top" wrapText="1"/>
    </xf>
    <xf numFmtId="0" fontId="18" fillId="2" borderId="6" xfId="0" applyFont="1" applyFill="1" applyBorder="1" applyAlignment="1">
      <alignment horizontal="left" vertical="top" wrapText="1"/>
    </xf>
    <xf numFmtId="0" fontId="18" fillId="2" borderId="7" xfId="0" applyFont="1" applyFill="1" applyBorder="1" applyAlignment="1">
      <alignment horizontal="left" vertical="top" wrapText="1"/>
    </xf>
    <xf numFmtId="0" fontId="18" fillId="2" borderId="8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top" wrapText="1"/>
    </xf>
    <xf numFmtId="0" fontId="18" fillId="2" borderId="9" xfId="0" applyFont="1" applyFill="1" applyBorder="1" applyAlignment="1">
      <alignment horizontal="left" vertical="top" wrapText="1"/>
    </xf>
    <xf numFmtId="0" fontId="18" fillId="2" borderId="12" xfId="0" applyFont="1" applyFill="1" applyBorder="1" applyAlignment="1">
      <alignment horizontal="left" vertical="top" wrapText="1"/>
    </xf>
    <xf numFmtId="0" fontId="18" fillId="2" borderId="13" xfId="0" applyFont="1" applyFill="1" applyBorder="1" applyAlignment="1">
      <alignment horizontal="left" vertical="top" wrapText="1"/>
    </xf>
    <xf numFmtId="0" fontId="18" fillId="2" borderId="14" xfId="0" applyFont="1" applyFill="1" applyBorder="1" applyAlignment="1">
      <alignment horizontal="left" vertical="top" wrapText="1"/>
    </xf>
    <xf numFmtId="0" fontId="19" fillId="2" borderId="0" xfId="0" applyFont="1" applyFill="1" applyAlignment="1">
      <alignment horizontal="left"/>
    </xf>
    <xf numFmtId="0" fontId="14" fillId="12" borderId="10" xfId="0" applyFont="1" applyFill="1" applyBorder="1" applyAlignment="1">
      <alignment horizontal="center" vertical="center" wrapText="1"/>
    </xf>
    <xf numFmtId="0" fontId="14" fillId="12" borderId="11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7" fillId="13" borderId="10" xfId="0" applyFont="1" applyFill="1" applyBorder="1" applyAlignment="1">
      <alignment horizontal="center" vertical="center" wrapText="1"/>
    </xf>
    <xf numFmtId="0" fontId="17" fillId="13" borderId="1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 wrapText="1"/>
    </xf>
  </cellXfs>
  <cellStyles count="5">
    <cellStyle name="Hipervínculo" xfId="4" builtinId="8"/>
    <cellStyle name="Millares" xfId="1" builtinId="3"/>
    <cellStyle name="Millares [0]" xfId="3" builtinId="6"/>
    <cellStyle name="Normal" xfId="0" builtinId="0"/>
    <cellStyle name="Porcentaj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CC99"/>
      <color rgb="FFFC6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hyperlink" Target="#'Grupo de actividades'!C10"/><Relationship Id="rId4" Type="http://schemas.openxmlformats.org/officeDocument/2006/relationships/hyperlink" Target="https://www.consultorcontable.com/herramientas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Simulador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16565</xdr:colOff>
      <xdr:row>1</xdr:row>
      <xdr:rowOff>16566</xdr:rowOff>
    </xdr:from>
    <xdr:to>
      <xdr:col>15</xdr:col>
      <xdr:colOff>215348</xdr:colOff>
      <xdr:row>2</xdr:row>
      <xdr:rowOff>8283</xdr:rowOff>
    </xdr:to>
    <xdr:sp macro="[0]!Macro1" textlink="">
      <xdr:nvSpPr>
        <xdr:cNvPr id="2" name="Multiplic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7579415" y="83241"/>
          <a:ext cx="198783" cy="182217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514350</xdr:colOff>
      <xdr:row>5</xdr:row>
      <xdr:rowOff>0</xdr:rowOff>
    </xdr:to>
    <xdr:pic>
      <xdr:nvPicPr>
        <xdr:cNvPr id="4" name="Imagen 3" descr="Resultado de imagen para Actividades">
          <a:hlinkClick xmlns:r="http://schemas.openxmlformats.org/officeDocument/2006/relationships" r:id="rId1" tooltip="Ver actividades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63817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139700</xdr:rowOff>
        </xdr:from>
        <xdr:to>
          <xdr:col>5</xdr:col>
          <xdr:colOff>800100</xdr:colOff>
          <xdr:row>11</xdr:row>
          <xdr:rowOff>38100</xdr:rowOff>
        </xdr:to>
        <xdr:sp macro="" textlink="">
          <xdr:nvSpPr>
            <xdr:cNvPr id="7175" name="CommandButton1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6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13</xdr:col>
      <xdr:colOff>142875</xdr:colOff>
      <xdr:row>1</xdr:row>
      <xdr:rowOff>0</xdr:rowOff>
    </xdr:from>
    <xdr:to>
      <xdr:col>15</xdr:col>
      <xdr:colOff>385080</xdr:colOff>
      <xdr:row>3</xdr:row>
      <xdr:rowOff>146644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2775" y="28575"/>
          <a:ext cx="1632855" cy="508594"/>
        </a:xfrm>
        <a:prstGeom prst="rect">
          <a:avLst/>
        </a:prstGeom>
      </xdr:spPr>
    </xdr:pic>
    <xdr:clientData/>
  </xdr:twoCellAnchor>
  <xdr:twoCellAnchor editAs="absolute">
    <xdr:from>
      <xdr:col>15</xdr:col>
      <xdr:colOff>701675</xdr:colOff>
      <xdr:row>1</xdr:row>
      <xdr:rowOff>28575</xdr:rowOff>
    </xdr:from>
    <xdr:to>
      <xdr:col>18</xdr:col>
      <xdr:colOff>311151</xdr:colOff>
      <xdr:row>4</xdr:row>
      <xdr:rowOff>19050</xdr:rowOff>
    </xdr:to>
    <xdr:sp macro="" textlink="">
      <xdr:nvSpPr>
        <xdr:cNvPr id="5" name="CuadroText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9039225" y="57150"/>
          <a:ext cx="1914526" cy="5334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  <a:effectLst>
          <a:softEdge rad="12700"/>
        </a:effectLst>
        <a:scene3d>
          <a:camera prst="orthographicFront"/>
          <a:lightRig rig="threePt" dir="t"/>
        </a:scene3d>
        <a:sp3d extrusionH="76200" contourW="12700">
          <a:bevelT/>
          <a:bevelB w="139700" prst="cross"/>
          <a:extrusionClr>
            <a:srgbClr val="FF0000"/>
          </a:extrusionClr>
          <a:contourClr>
            <a:schemeClr val="bg1">
              <a:lumMod val="65000"/>
            </a:schemeClr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tx1"/>
              </a:solidFill>
              <a:latin typeface="Aril"/>
            </a:rPr>
            <a:t>Más Herramientas contables y tributarias aquí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41413</xdr:rowOff>
    </xdr:from>
    <xdr:to>
      <xdr:col>3</xdr:col>
      <xdr:colOff>684143</xdr:colOff>
      <xdr:row>6</xdr:row>
      <xdr:rowOff>62948</xdr:rowOff>
    </xdr:to>
    <xdr:pic>
      <xdr:nvPicPr>
        <xdr:cNvPr id="2" name="Imagen 1" descr="Resultado de imagen para flechas">
          <a:hlinkClick xmlns:r="http://schemas.openxmlformats.org/officeDocument/2006/relationships" r:id="rId1" tooltip="Simulador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0" y="41413"/>
          <a:ext cx="80010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consultorcontable.com/" TargetMode="External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rgb="FF00B050"/>
  </sheetPr>
  <dimension ref="A1:M67"/>
  <sheetViews>
    <sheetView topLeftCell="C1" zoomScale="115" zoomScaleNormal="115" workbookViewId="0">
      <pane ySplit="3" topLeftCell="A4" activePane="bottomLeft" state="frozen"/>
      <selection activeCell="C7" sqref="C7:O12"/>
      <selection pane="bottomLeft" activeCell="C7" sqref="C7:O12"/>
    </sheetView>
  </sheetViews>
  <sheetFormatPr baseColWidth="10" defaultColWidth="12" defaultRowHeight="14" x14ac:dyDescent="0.3"/>
  <cols>
    <col min="1" max="1" width="0.77734375" style="46" hidden="1" customWidth="1"/>
    <col min="2" max="2" width="2" style="46" hidden="1" customWidth="1"/>
    <col min="3" max="3" width="2" style="46" customWidth="1"/>
    <col min="4" max="4" width="19.77734375" style="46" customWidth="1"/>
    <col min="5" max="5" width="13.77734375" style="46" customWidth="1"/>
    <col min="6" max="7" width="21.33203125" style="46" customWidth="1"/>
    <col min="8" max="8" width="16.6640625" style="46" customWidth="1"/>
    <col min="9" max="9" width="15.6640625" style="46" customWidth="1"/>
    <col min="10" max="10" width="16" style="46" customWidth="1"/>
    <col min="11" max="11" width="12" style="46"/>
    <col min="12" max="12" width="19.6640625" style="46" bestFit="1" customWidth="1"/>
    <col min="13" max="16384" width="12" style="46"/>
  </cols>
  <sheetData>
    <row r="1" spans="2:12" ht="5.25" customHeight="1" x14ac:dyDescent="0.3"/>
    <row r="2" spans="2:12" x14ac:dyDescent="0.3">
      <c r="D2" s="47" t="s">
        <v>2</v>
      </c>
    </row>
    <row r="3" spans="2:12" x14ac:dyDescent="0.3">
      <c r="D3" s="47" t="s">
        <v>0</v>
      </c>
    </row>
    <row r="4" spans="2:12" ht="6.75" customHeight="1" x14ac:dyDescent="0.3"/>
    <row r="5" spans="2:12" hidden="1" x14ac:dyDescent="0.3"/>
    <row r="6" spans="2:12" hidden="1" x14ac:dyDescent="0.3"/>
    <row r="7" spans="2:12" ht="15" customHeight="1" x14ac:dyDescent="0.3">
      <c r="D7" s="117" t="s">
        <v>27</v>
      </c>
      <c r="E7" s="117"/>
      <c r="F7" s="117"/>
      <c r="G7" s="117"/>
      <c r="H7" s="117"/>
      <c r="I7" s="117"/>
    </row>
    <row r="9" spans="2:12" x14ac:dyDescent="0.3">
      <c r="D9" s="118" t="s">
        <v>28</v>
      </c>
      <c r="E9" s="119"/>
      <c r="F9" s="119"/>
      <c r="G9" s="120"/>
      <c r="H9" s="121" t="s">
        <v>31</v>
      </c>
    </row>
    <row r="10" spans="2:12" ht="27.75" customHeight="1" x14ac:dyDescent="0.3">
      <c r="D10" s="53" t="s">
        <v>35</v>
      </c>
      <c r="E10" s="53" t="s">
        <v>29</v>
      </c>
      <c r="F10" s="53" t="s">
        <v>36</v>
      </c>
      <c r="G10" s="53" t="s">
        <v>30</v>
      </c>
      <c r="H10" s="122"/>
    </row>
    <row r="11" spans="2:12" x14ac:dyDescent="0.3">
      <c r="B11" s="48" t="e">
        <f>IF(AND(#REF!&gt;F12,#REF!&lt;G12),H12,0)</f>
        <v>#REF!</v>
      </c>
      <c r="C11" s="48"/>
      <c r="D11" s="49">
        <v>0</v>
      </c>
      <c r="E11" s="49">
        <v>6000</v>
      </c>
      <c r="F11" s="49">
        <f>+D11*$E$16</f>
        <v>0</v>
      </c>
      <c r="G11" s="49">
        <f>+E11*$E$16</f>
        <v>205620000</v>
      </c>
      <c r="H11" s="50">
        <v>0.02</v>
      </c>
    </row>
    <row r="12" spans="2:12" x14ac:dyDescent="0.3">
      <c r="B12" s="48" t="e">
        <f>IF(AND(#REF!&gt;F13,#REF!&lt;G13),H13,0)</f>
        <v>#REF!</v>
      </c>
      <c r="C12" s="48"/>
      <c r="D12" s="49">
        <v>6000</v>
      </c>
      <c r="E12" s="49">
        <v>15000</v>
      </c>
      <c r="F12" s="49">
        <f t="shared" ref="F12:F14" si="0">+D12*$E$16</f>
        <v>205620000</v>
      </c>
      <c r="G12" s="49">
        <f t="shared" ref="G12:G14" si="1">+E12*$E$16</f>
        <v>514050000</v>
      </c>
      <c r="H12" s="50">
        <v>2.8000000000000001E-2</v>
      </c>
      <c r="L12" s="56"/>
    </row>
    <row r="13" spans="2:12" x14ac:dyDescent="0.3">
      <c r="B13" s="48" t="e">
        <f>IF(AND(#REF!&gt;F14,#REF!&lt;G14),H14,0)</f>
        <v>#REF!</v>
      </c>
      <c r="C13" s="48"/>
      <c r="D13" s="49">
        <v>15000</v>
      </c>
      <c r="E13" s="49">
        <v>30000</v>
      </c>
      <c r="F13" s="49">
        <f t="shared" si="0"/>
        <v>514050000</v>
      </c>
      <c r="G13" s="49">
        <f t="shared" si="1"/>
        <v>1028100000</v>
      </c>
      <c r="H13" s="50">
        <v>8.1000000000000003E-2</v>
      </c>
      <c r="L13" s="56"/>
    </row>
    <row r="14" spans="2:12" x14ac:dyDescent="0.3">
      <c r="B14" s="51" t="e">
        <f>SUM(B11:B13)</f>
        <v>#REF!</v>
      </c>
      <c r="C14" s="51"/>
      <c r="D14" s="49">
        <v>30000</v>
      </c>
      <c r="E14" s="49">
        <v>80000</v>
      </c>
      <c r="F14" s="49">
        <f t="shared" si="0"/>
        <v>1028100000</v>
      </c>
      <c r="G14" s="49">
        <f t="shared" si="1"/>
        <v>2741600000</v>
      </c>
      <c r="H14" s="50">
        <v>0.11600000000000001</v>
      </c>
      <c r="L14" s="56"/>
    </row>
    <row r="15" spans="2:12" ht="6.75" customHeight="1" x14ac:dyDescent="0.3"/>
    <row r="16" spans="2:12" x14ac:dyDescent="0.3">
      <c r="D16" s="46" t="s">
        <v>8</v>
      </c>
      <c r="E16" s="52">
        <v>34270</v>
      </c>
    </row>
    <row r="19" spans="4:9" x14ac:dyDescent="0.3">
      <c r="D19" s="117" t="s">
        <v>32</v>
      </c>
      <c r="E19" s="117"/>
      <c r="F19" s="117"/>
      <c r="G19" s="117"/>
      <c r="H19" s="117"/>
      <c r="I19" s="117"/>
    </row>
    <row r="20" spans="4:9" x14ac:dyDescent="0.3">
      <c r="D20" s="117"/>
      <c r="E20" s="117"/>
      <c r="F20" s="117"/>
      <c r="G20" s="117"/>
      <c r="H20" s="117"/>
      <c r="I20" s="117"/>
    </row>
    <row r="21" spans="4:9" x14ac:dyDescent="0.3">
      <c r="D21" s="117"/>
      <c r="E21" s="117"/>
      <c r="F21" s="117"/>
      <c r="G21" s="117"/>
      <c r="H21" s="117"/>
      <c r="I21" s="117"/>
    </row>
    <row r="22" spans="4:9" hidden="1" x14ac:dyDescent="0.3">
      <c r="D22" s="117"/>
      <c r="E22" s="117"/>
      <c r="F22" s="117"/>
      <c r="G22" s="117"/>
      <c r="H22" s="117"/>
      <c r="I22" s="117"/>
    </row>
    <row r="23" spans="4:9" ht="9.75" customHeight="1" x14ac:dyDescent="0.3">
      <c r="D23" s="117"/>
      <c r="E23" s="117"/>
      <c r="F23" s="117"/>
      <c r="G23" s="117"/>
      <c r="H23" s="117"/>
      <c r="I23" s="117"/>
    </row>
    <row r="24" spans="4:9" x14ac:dyDescent="0.3">
      <c r="D24" s="117"/>
      <c r="E24" s="117"/>
      <c r="F24" s="117"/>
      <c r="G24" s="117"/>
      <c r="H24" s="117"/>
      <c r="I24" s="117"/>
    </row>
    <row r="26" spans="4:9" x14ac:dyDescent="0.3">
      <c r="D26" s="118" t="s">
        <v>28</v>
      </c>
      <c r="E26" s="119"/>
      <c r="F26" s="119"/>
      <c r="G26" s="120"/>
      <c r="H26" s="121" t="s">
        <v>31</v>
      </c>
    </row>
    <row r="27" spans="4:9" ht="28" x14ac:dyDescent="0.3">
      <c r="D27" s="53" t="s">
        <v>35</v>
      </c>
      <c r="E27" s="53" t="s">
        <v>29</v>
      </c>
      <c r="F27" s="53" t="s">
        <v>36</v>
      </c>
      <c r="G27" s="53" t="s">
        <v>30</v>
      </c>
      <c r="H27" s="122"/>
    </row>
    <row r="28" spans="4:9" x14ac:dyDescent="0.3">
      <c r="D28" s="49">
        <v>0</v>
      </c>
      <c r="E28" s="49">
        <v>6000</v>
      </c>
      <c r="F28" s="49">
        <f>+D28*$E$33</f>
        <v>0</v>
      </c>
      <c r="G28" s="49">
        <f>+E28*$E$33</f>
        <v>205620000</v>
      </c>
      <c r="H28" s="50">
        <v>1.7999999999999999E-2</v>
      </c>
    </row>
    <row r="29" spans="4:9" x14ac:dyDescent="0.3">
      <c r="D29" s="49">
        <v>6000</v>
      </c>
      <c r="E29" s="49">
        <v>15000</v>
      </c>
      <c r="F29" s="49">
        <f t="shared" ref="F29:F31" si="2">+D29*$E$33</f>
        <v>205620000</v>
      </c>
      <c r="G29" s="49">
        <f t="shared" ref="G29:G31" si="3">+E29*$E$33</f>
        <v>514050000</v>
      </c>
      <c r="H29" s="50">
        <v>2.1999999999999999E-2</v>
      </c>
    </row>
    <row r="30" spans="4:9" x14ac:dyDescent="0.3">
      <c r="D30" s="49">
        <v>15000</v>
      </c>
      <c r="E30" s="49">
        <v>30000</v>
      </c>
      <c r="F30" s="49">
        <f t="shared" si="2"/>
        <v>514050000</v>
      </c>
      <c r="G30" s="49">
        <f t="shared" si="3"/>
        <v>1028100000</v>
      </c>
      <c r="H30" s="50">
        <v>3.9E-2</v>
      </c>
    </row>
    <row r="31" spans="4:9" x14ac:dyDescent="0.3">
      <c r="D31" s="49">
        <v>30000</v>
      </c>
      <c r="E31" s="49">
        <v>80000</v>
      </c>
      <c r="F31" s="49">
        <f t="shared" si="2"/>
        <v>1028100000</v>
      </c>
      <c r="G31" s="49">
        <f t="shared" si="3"/>
        <v>2741600000</v>
      </c>
      <c r="H31" s="50">
        <v>5.3999999999999999E-2</v>
      </c>
    </row>
    <row r="33" spans="4:10" x14ac:dyDescent="0.3">
      <c r="D33" s="46" t="s">
        <v>8</v>
      </c>
      <c r="E33" s="52">
        <f>+E16</f>
        <v>34270</v>
      </c>
    </row>
    <row r="34" spans="4:10" x14ac:dyDescent="0.3">
      <c r="E34" s="52"/>
    </row>
    <row r="36" spans="4:10" x14ac:dyDescent="0.3">
      <c r="D36" s="117" t="s">
        <v>33</v>
      </c>
      <c r="E36" s="117"/>
      <c r="F36" s="117"/>
      <c r="G36" s="117"/>
      <c r="H36" s="117"/>
      <c r="I36" s="117"/>
    </row>
    <row r="37" spans="4:10" x14ac:dyDescent="0.3">
      <c r="D37" s="117"/>
      <c r="E37" s="117"/>
      <c r="F37" s="117"/>
      <c r="G37" s="117"/>
      <c r="H37" s="117"/>
      <c r="I37" s="117"/>
    </row>
    <row r="38" spans="4:10" x14ac:dyDescent="0.3">
      <c r="D38" s="117"/>
      <c r="E38" s="117"/>
      <c r="F38" s="117"/>
      <c r="G38" s="117"/>
      <c r="H38" s="117"/>
      <c r="I38" s="117"/>
    </row>
    <row r="39" spans="4:10" ht="4.5" customHeight="1" x14ac:dyDescent="0.3">
      <c r="D39" s="117"/>
      <c r="E39" s="117"/>
      <c r="F39" s="117"/>
      <c r="G39" s="117"/>
      <c r="H39" s="117"/>
      <c r="I39" s="117"/>
    </row>
    <row r="40" spans="4:10" hidden="1" x14ac:dyDescent="0.3">
      <c r="D40" s="117"/>
      <c r="E40" s="117"/>
      <c r="F40" s="117"/>
      <c r="G40" s="117"/>
      <c r="H40" s="117"/>
      <c r="I40" s="117"/>
    </row>
    <row r="41" spans="4:10" hidden="1" x14ac:dyDescent="0.3">
      <c r="D41" s="117"/>
      <c r="E41" s="117"/>
      <c r="F41" s="117"/>
      <c r="G41" s="117"/>
      <c r="H41" s="117"/>
      <c r="I41" s="117"/>
    </row>
    <row r="43" spans="4:10" x14ac:dyDescent="0.3">
      <c r="D43" s="118" t="s">
        <v>28</v>
      </c>
      <c r="E43" s="119"/>
      <c r="F43" s="119"/>
      <c r="G43" s="120"/>
      <c r="H43" s="121" t="s">
        <v>31</v>
      </c>
    </row>
    <row r="44" spans="4:10" ht="28" x14ac:dyDescent="0.3">
      <c r="D44" s="53" t="s">
        <v>35</v>
      </c>
      <c r="E44" s="53" t="s">
        <v>29</v>
      </c>
      <c r="F44" s="53" t="s">
        <v>36</v>
      </c>
      <c r="G44" s="53" t="s">
        <v>30</v>
      </c>
      <c r="H44" s="122"/>
    </row>
    <row r="45" spans="4:10" x14ac:dyDescent="0.3">
      <c r="D45" s="49">
        <v>0</v>
      </c>
      <c r="E45" s="49">
        <v>6000</v>
      </c>
      <c r="F45" s="49">
        <f>+D45*$E$33</f>
        <v>0</v>
      </c>
      <c r="G45" s="49">
        <f>+E45*$E$33</f>
        <v>205620000</v>
      </c>
      <c r="H45" s="50">
        <v>4.9000000000000002E-2</v>
      </c>
    </row>
    <row r="46" spans="4:10" x14ac:dyDescent="0.3">
      <c r="D46" s="49">
        <v>6000</v>
      </c>
      <c r="E46" s="49">
        <v>15000</v>
      </c>
      <c r="F46" s="49">
        <f t="shared" ref="F46:F48" si="4">+D46*$E$33</f>
        <v>205620000</v>
      </c>
      <c r="G46" s="49">
        <f t="shared" ref="G46:G48" si="5">+E46*$E$33</f>
        <v>514050000</v>
      </c>
      <c r="H46" s="50">
        <v>5.2999999999999999E-2</v>
      </c>
      <c r="J46" s="46" t="s">
        <v>46</v>
      </c>
    </row>
    <row r="47" spans="4:10" x14ac:dyDescent="0.3">
      <c r="D47" s="49">
        <v>15000</v>
      </c>
      <c r="E47" s="49">
        <v>30000</v>
      </c>
      <c r="F47" s="49">
        <f t="shared" si="4"/>
        <v>514050000</v>
      </c>
      <c r="G47" s="49">
        <f t="shared" si="5"/>
        <v>1028100000</v>
      </c>
      <c r="H47" s="50">
        <v>7.0000000000000007E-2</v>
      </c>
    </row>
    <row r="48" spans="4:10" x14ac:dyDescent="0.3">
      <c r="D48" s="49">
        <v>30000</v>
      </c>
      <c r="E48" s="49">
        <v>80000</v>
      </c>
      <c r="F48" s="49">
        <f t="shared" si="4"/>
        <v>1028100000</v>
      </c>
      <c r="G48" s="49">
        <f t="shared" si="5"/>
        <v>2741600000</v>
      </c>
      <c r="H48" s="50">
        <v>8.5000000000000006E-2</v>
      </c>
    </row>
    <row r="50" spans="4:13" x14ac:dyDescent="0.3">
      <c r="D50" s="46" t="s">
        <v>8</v>
      </c>
      <c r="E50" s="52">
        <f>+E33</f>
        <v>34270</v>
      </c>
    </row>
    <row r="53" spans="4:13" x14ac:dyDescent="0.3">
      <c r="D53" s="117" t="s">
        <v>34</v>
      </c>
      <c r="E53" s="117"/>
      <c r="F53" s="117"/>
      <c r="G53" s="117"/>
      <c r="H53" s="117"/>
      <c r="I53" s="117"/>
    </row>
    <row r="54" spans="4:13" ht="3.75" customHeight="1" x14ac:dyDescent="0.3">
      <c r="D54" s="117"/>
      <c r="E54" s="117"/>
      <c r="F54" s="117"/>
      <c r="G54" s="117"/>
      <c r="H54" s="117"/>
      <c r="I54" s="117"/>
    </row>
    <row r="55" spans="4:13" hidden="1" x14ac:dyDescent="0.3">
      <c r="D55" s="117"/>
      <c r="E55" s="117"/>
      <c r="F55" s="117"/>
      <c r="G55" s="117"/>
      <c r="H55" s="117"/>
      <c r="I55" s="117"/>
    </row>
    <row r="56" spans="4:13" hidden="1" x14ac:dyDescent="0.3">
      <c r="D56" s="117"/>
      <c r="E56" s="117"/>
      <c r="F56" s="117"/>
      <c r="G56" s="117"/>
      <c r="H56" s="117"/>
      <c r="I56" s="117"/>
    </row>
    <row r="57" spans="4:13" hidden="1" x14ac:dyDescent="0.3">
      <c r="D57" s="117"/>
      <c r="E57" s="117"/>
      <c r="F57" s="117"/>
      <c r="G57" s="117"/>
      <c r="H57" s="117"/>
      <c r="I57" s="117"/>
    </row>
    <row r="58" spans="4:13" hidden="1" x14ac:dyDescent="0.3">
      <c r="D58" s="117"/>
      <c r="E58" s="117"/>
      <c r="F58" s="117"/>
      <c r="G58" s="117"/>
      <c r="H58" s="117"/>
      <c r="I58" s="117"/>
    </row>
    <row r="60" spans="4:13" x14ac:dyDescent="0.3">
      <c r="D60" s="118" t="s">
        <v>28</v>
      </c>
      <c r="E60" s="119"/>
      <c r="F60" s="119"/>
      <c r="G60" s="120"/>
      <c r="H60" s="121" t="s">
        <v>31</v>
      </c>
      <c r="I60" s="121" t="s">
        <v>41</v>
      </c>
      <c r="J60" s="121" t="s">
        <v>42</v>
      </c>
    </row>
    <row r="61" spans="4:13" ht="28" x14ac:dyDescent="0.3">
      <c r="D61" s="53" t="s">
        <v>35</v>
      </c>
      <c r="E61" s="53" t="s">
        <v>29</v>
      </c>
      <c r="F61" s="53" t="s">
        <v>36</v>
      </c>
      <c r="G61" s="53" t="s">
        <v>30</v>
      </c>
      <c r="H61" s="122"/>
      <c r="I61" s="122"/>
      <c r="J61" s="122"/>
    </row>
    <row r="62" spans="4:13" x14ac:dyDescent="0.3">
      <c r="D62" s="49">
        <v>0</v>
      </c>
      <c r="E62" s="49">
        <v>6000</v>
      </c>
      <c r="F62" s="49">
        <f>+D62*$E$33</f>
        <v>0</v>
      </c>
      <c r="G62" s="49">
        <f>+E62*$E$33</f>
        <v>205620000</v>
      </c>
      <c r="H62" s="50">
        <v>3.4000000000000002E-2</v>
      </c>
      <c r="I62" s="50">
        <v>0.08</v>
      </c>
      <c r="J62" s="50">
        <f>+H62+I62</f>
        <v>0.114</v>
      </c>
      <c r="M62" s="46">
        <f>+E63/6</f>
        <v>2500</v>
      </c>
    </row>
    <row r="63" spans="4:13" x14ac:dyDescent="0.3">
      <c r="D63" s="49">
        <v>6000</v>
      </c>
      <c r="E63" s="49">
        <v>15000</v>
      </c>
      <c r="F63" s="49">
        <f t="shared" ref="F63:F65" si="6">+D63*$E$33</f>
        <v>205620000</v>
      </c>
      <c r="G63" s="49">
        <f t="shared" ref="G63:G65" si="7">+E63*$E$33</f>
        <v>514050000</v>
      </c>
      <c r="H63" s="50">
        <v>3.7999999999999999E-2</v>
      </c>
      <c r="I63" s="50">
        <v>0.08</v>
      </c>
      <c r="J63" s="50">
        <f t="shared" ref="J63:J65" si="8">+H63+I63</f>
        <v>0.11799999999999999</v>
      </c>
      <c r="M63" s="46">
        <f t="shared" ref="M63:M65" si="9">+E64/6</f>
        <v>5000</v>
      </c>
    </row>
    <row r="64" spans="4:13" x14ac:dyDescent="0.3">
      <c r="D64" s="49">
        <v>15000</v>
      </c>
      <c r="E64" s="49">
        <v>30000</v>
      </c>
      <c r="F64" s="49">
        <f t="shared" si="6"/>
        <v>514050000</v>
      </c>
      <c r="G64" s="49">
        <f t="shared" si="7"/>
        <v>1028100000</v>
      </c>
      <c r="H64" s="50">
        <v>5.5E-2</v>
      </c>
      <c r="I64" s="50">
        <v>0.08</v>
      </c>
      <c r="J64" s="50">
        <f t="shared" si="8"/>
        <v>0.13500000000000001</v>
      </c>
      <c r="M64" s="46">
        <f t="shared" si="9"/>
        <v>13333.333333333334</v>
      </c>
    </row>
    <row r="65" spans="4:13" x14ac:dyDescent="0.3">
      <c r="D65" s="49">
        <v>30000</v>
      </c>
      <c r="E65" s="49">
        <v>80000</v>
      </c>
      <c r="F65" s="49">
        <f t="shared" si="6"/>
        <v>1028100000</v>
      </c>
      <c r="G65" s="49">
        <f t="shared" si="7"/>
        <v>2741600000</v>
      </c>
      <c r="H65" s="50">
        <v>7.0000000000000007E-2</v>
      </c>
      <c r="I65" s="50">
        <v>0.08</v>
      </c>
      <c r="J65" s="50">
        <f t="shared" si="8"/>
        <v>0.15000000000000002</v>
      </c>
      <c r="M65" s="46">
        <f t="shared" si="9"/>
        <v>0</v>
      </c>
    </row>
    <row r="67" spans="4:13" x14ac:dyDescent="0.3">
      <c r="D67" s="46" t="s">
        <v>8</v>
      </c>
      <c r="E67" s="52">
        <f>+E50</f>
        <v>34270</v>
      </c>
    </row>
  </sheetData>
  <mergeCells count="14">
    <mergeCell ref="J60:J61"/>
    <mergeCell ref="D60:G60"/>
    <mergeCell ref="H9:H10"/>
    <mergeCell ref="H26:H27"/>
    <mergeCell ref="H43:H44"/>
    <mergeCell ref="H60:H61"/>
    <mergeCell ref="D9:G9"/>
    <mergeCell ref="D19:I24"/>
    <mergeCell ref="I60:I61"/>
    <mergeCell ref="D7:I7"/>
    <mergeCell ref="D36:I41"/>
    <mergeCell ref="D26:G26"/>
    <mergeCell ref="D43:G43"/>
    <mergeCell ref="D53:I5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rgb="FF00B050"/>
  </sheetPr>
  <dimension ref="A5:I12"/>
  <sheetViews>
    <sheetView workbookViewId="0">
      <selection activeCell="C7" sqref="C7:O12"/>
    </sheetView>
  </sheetViews>
  <sheetFormatPr baseColWidth="10" defaultRowHeight="10" x14ac:dyDescent="0.2"/>
  <cols>
    <col min="1" max="1" width="2.33203125" customWidth="1"/>
    <col min="2" max="2" width="13.109375" customWidth="1"/>
    <col min="3" max="3" width="10.109375" bestFit="1" customWidth="1"/>
    <col min="4" max="4" width="18.6640625" customWidth="1"/>
    <col min="5" max="5" width="19.109375" customWidth="1"/>
    <col min="6" max="6" width="15.44140625" customWidth="1"/>
    <col min="7" max="7" width="15.33203125" customWidth="1"/>
    <col min="8" max="8" width="14.44140625" customWidth="1"/>
    <col min="9" max="9" width="15.6640625" customWidth="1"/>
  </cols>
  <sheetData>
    <row r="5" spans="1:9" ht="15" customHeight="1" x14ac:dyDescent="0.2">
      <c r="A5" s="54"/>
      <c r="B5" s="118" t="s">
        <v>28</v>
      </c>
      <c r="C5" s="119"/>
      <c r="D5" s="119"/>
      <c r="E5" s="120"/>
      <c r="F5" s="121" t="s">
        <v>37</v>
      </c>
      <c r="G5" s="121" t="s">
        <v>38</v>
      </c>
      <c r="H5" s="121" t="s">
        <v>39</v>
      </c>
      <c r="I5" s="121" t="s">
        <v>40</v>
      </c>
    </row>
    <row r="6" spans="1:9" ht="42" x14ac:dyDescent="0.2">
      <c r="B6" s="53" t="s">
        <v>35</v>
      </c>
      <c r="C6" s="53" t="s">
        <v>29</v>
      </c>
      <c r="D6" s="53" t="s">
        <v>36</v>
      </c>
      <c r="E6" s="53" t="s">
        <v>30</v>
      </c>
      <c r="F6" s="122"/>
      <c r="G6" s="122"/>
      <c r="H6" s="122"/>
      <c r="I6" s="122"/>
    </row>
    <row r="7" spans="1:9" ht="14" x14ac:dyDescent="0.3">
      <c r="B7" s="49">
        <v>0</v>
      </c>
      <c r="C7" s="49">
        <v>6000</v>
      </c>
      <c r="D7" s="49">
        <f t="shared" ref="D7:E10" si="0">+B7*$E$12</f>
        <v>0</v>
      </c>
      <c r="E7" s="49">
        <f t="shared" si="0"/>
        <v>205620000</v>
      </c>
      <c r="F7" s="50">
        <v>0.02</v>
      </c>
      <c r="G7" s="50">
        <v>1.7999999999999999E-2</v>
      </c>
      <c r="H7" s="50">
        <v>4.9000000000000002E-2</v>
      </c>
      <c r="I7" s="50">
        <v>3.4000000000000002E-2</v>
      </c>
    </row>
    <row r="8" spans="1:9" ht="14" x14ac:dyDescent="0.3">
      <c r="B8" s="49">
        <v>6000</v>
      </c>
      <c r="C8" s="49">
        <v>15000</v>
      </c>
      <c r="D8" s="49">
        <f t="shared" si="0"/>
        <v>205620000</v>
      </c>
      <c r="E8" s="49">
        <f t="shared" si="0"/>
        <v>514050000</v>
      </c>
      <c r="F8" s="50">
        <v>2.8000000000000001E-2</v>
      </c>
      <c r="G8" s="50">
        <v>2.1999999999999999E-2</v>
      </c>
      <c r="H8" s="50">
        <v>5.2999999999999999E-2</v>
      </c>
      <c r="I8" s="50">
        <v>3.7999999999999999E-2</v>
      </c>
    </row>
    <row r="9" spans="1:9" ht="14" x14ac:dyDescent="0.3">
      <c r="B9" s="49">
        <v>15000</v>
      </c>
      <c r="C9" s="49">
        <v>30000</v>
      </c>
      <c r="D9" s="49">
        <f t="shared" si="0"/>
        <v>514050000</v>
      </c>
      <c r="E9" s="49">
        <f t="shared" si="0"/>
        <v>1028100000</v>
      </c>
      <c r="F9" s="50">
        <v>8.1000000000000003E-2</v>
      </c>
      <c r="G9" s="50">
        <v>3.9E-2</v>
      </c>
      <c r="H9" s="50">
        <v>7.0000000000000007E-2</v>
      </c>
      <c r="I9" s="50">
        <v>5.5E-2</v>
      </c>
    </row>
    <row r="10" spans="1:9" ht="14" x14ac:dyDescent="0.3">
      <c r="B10" s="49">
        <v>30000</v>
      </c>
      <c r="C10" s="49">
        <v>80000</v>
      </c>
      <c r="D10" s="49">
        <f t="shared" si="0"/>
        <v>1028100000</v>
      </c>
      <c r="E10" s="49">
        <f t="shared" si="0"/>
        <v>2741600000</v>
      </c>
      <c r="F10" s="50">
        <v>0.11600000000000001</v>
      </c>
      <c r="G10" s="50">
        <v>5.3999999999999999E-2</v>
      </c>
      <c r="H10" s="50">
        <v>8.5000000000000006E-2</v>
      </c>
      <c r="I10" s="50">
        <v>7.0000000000000007E-2</v>
      </c>
    </row>
    <row r="11" spans="1:9" ht="14" x14ac:dyDescent="0.3">
      <c r="D11" s="46"/>
      <c r="E11" s="46"/>
      <c r="F11" s="46"/>
    </row>
    <row r="12" spans="1:9" ht="14" x14ac:dyDescent="0.3">
      <c r="D12" s="46" t="s">
        <v>8</v>
      </c>
      <c r="E12" s="52">
        <v>34270</v>
      </c>
      <c r="F12" s="46"/>
    </row>
  </sheetData>
  <mergeCells count="5">
    <mergeCell ref="B5:E5"/>
    <mergeCell ref="F5:F6"/>
    <mergeCell ref="G5:G6"/>
    <mergeCell ref="H5:H6"/>
    <mergeCell ref="I5:I6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tabColor rgb="FF00B0F0"/>
  </sheetPr>
  <dimension ref="A1:J67"/>
  <sheetViews>
    <sheetView topLeftCell="C1" zoomScale="115" zoomScaleNormal="115" workbookViewId="0">
      <pane ySplit="3" topLeftCell="A54" activePane="bottomLeft" state="frozen"/>
      <selection activeCell="C7" sqref="C7:O12"/>
      <selection pane="bottomLeft" activeCell="C7" sqref="C7:O12"/>
    </sheetView>
  </sheetViews>
  <sheetFormatPr baseColWidth="10" defaultColWidth="12" defaultRowHeight="14" x14ac:dyDescent="0.3"/>
  <cols>
    <col min="1" max="1" width="0.77734375" style="46" hidden="1" customWidth="1"/>
    <col min="2" max="2" width="2" style="46" hidden="1" customWidth="1"/>
    <col min="3" max="3" width="2" style="46" customWidth="1"/>
    <col min="4" max="4" width="18.109375" style="46" customWidth="1"/>
    <col min="5" max="5" width="13.77734375" style="46" customWidth="1"/>
    <col min="6" max="7" width="21.33203125" style="46" customWidth="1"/>
    <col min="8" max="8" width="16.6640625" style="46" customWidth="1"/>
    <col min="9" max="9" width="15.6640625" style="46" customWidth="1"/>
    <col min="10" max="10" width="16" style="46" customWidth="1"/>
    <col min="11" max="16384" width="12" style="46"/>
  </cols>
  <sheetData>
    <row r="1" spans="2:9" ht="5.25" customHeight="1" x14ac:dyDescent="0.3"/>
    <row r="2" spans="2:9" x14ac:dyDescent="0.3">
      <c r="D2" s="47" t="s">
        <v>2</v>
      </c>
    </row>
    <row r="3" spans="2:9" x14ac:dyDescent="0.3">
      <c r="D3" s="47" t="s">
        <v>0</v>
      </c>
    </row>
    <row r="4" spans="2:9" ht="6.75" customHeight="1" x14ac:dyDescent="0.3"/>
    <row r="5" spans="2:9" hidden="1" x14ac:dyDescent="0.3"/>
    <row r="6" spans="2:9" hidden="1" x14ac:dyDescent="0.3"/>
    <row r="7" spans="2:9" ht="15" customHeight="1" x14ac:dyDescent="0.3">
      <c r="D7" s="117" t="s">
        <v>27</v>
      </c>
      <c r="E7" s="117"/>
      <c r="F7" s="117"/>
      <c r="G7" s="117"/>
      <c r="H7" s="117"/>
      <c r="I7" s="117"/>
    </row>
    <row r="9" spans="2:9" x14ac:dyDescent="0.3">
      <c r="D9" s="118" t="s">
        <v>44</v>
      </c>
      <c r="E9" s="119"/>
      <c r="F9" s="119"/>
      <c r="G9" s="120"/>
      <c r="H9" s="121" t="s">
        <v>43</v>
      </c>
    </row>
    <row r="10" spans="2:9" ht="27.75" customHeight="1" x14ac:dyDescent="0.3">
      <c r="D10" s="53" t="s">
        <v>35</v>
      </c>
      <c r="E10" s="53" t="s">
        <v>29</v>
      </c>
      <c r="F10" s="53" t="s">
        <v>36</v>
      </c>
      <c r="G10" s="53" t="s">
        <v>30</v>
      </c>
      <c r="H10" s="122"/>
    </row>
    <row r="11" spans="2:9" x14ac:dyDescent="0.3">
      <c r="B11" s="48" t="e">
        <f>IF(AND(#REF!&gt;F12,#REF!&lt;G12),H12,0)</f>
        <v>#REF!</v>
      </c>
      <c r="C11" s="48"/>
      <c r="D11" s="49">
        <v>0</v>
      </c>
      <c r="E11" s="49">
        <v>1000</v>
      </c>
      <c r="F11" s="49">
        <f>+D11*$E$16</f>
        <v>0</v>
      </c>
      <c r="G11" s="49">
        <f>+E11*$E$16</f>
        <v>34270000</v>
      </c>
      <c r="H11" s="50">
        <v>0.02</v>
      </c>
    </row>
    <row r="12" spans="2:9" x14ac:dyDescent="0.3">
      <c r="B12" s="48" t="e">
        <f>IF(AND(#REF!&gt;F13,#REF!&lt;G13),H13,0)</f>
        <v>#REF!</v>
      </c>
      <c r="C12" s="48"/>
      <c r="D12" s="49">
        <v>1000</v>
      </c>
      <c r="E12" s="49">
        <v>2500</v>
      </c>
      <c r="F12" s="49">
        <f t="shared" ref="F12:G14" si="0">+D12*$E$16</f>
        <v>34270000</v>
      </c>
      <c r="G12" s="49">
        <f t="shared" si="0"/>
        <v>85675000</v>
      </c>
      <c r="H12" s="50">
        <v>2.8000000000000001E-2</v>
      </c>
    </row>
    <row r="13" spans="2:9" x14ac:dyDescent="0.3">
      <c r="B13" s="48" t="e">
        <f>IF(AND(#REF!&gt;F14,#REF!&lt;G14),H14,0)</f>
        <v>#REF!</v>
      </c>
      <c r="C13" s="48"/>
      <c r="D13" s="49">
        <v>2500</v>
      </c>
      <c r="E13" s="49">
        <v>5000</v>
      </c>
      <c r="F13" s="49">
        <f t="shared" si="0"/>
        <v>85675000</v>
      </c>
      <c r="G13" s="49">
        <f t="shared" si="0"/>
        <v>171350000</v>
      </c>
      <c r="H13" s="50">
        <v>8.1000000000000003E-2</v>
      </c>
    </row>
    <row r="14" spans="2:9" x14ac:dyDescent="0.3">
      <c r="B14" s="51" t="e">
        <f>SUM(B11:B13)</f>
        <v>#REF!</v>
      </c>
      <c r="C14" s="51"/>
      <c r="D14" s="49">
        <v>5000</v>
      </c>
      <c r="E14" s="49">
        <v>13334</v>
      </c>
      <c r="F14" s="49">
        <f t="shared" si="0"/>
        <v>171350000</v>
      </c>
      <c r="G14" s="49">
        <f t="shared" si="0"/>
        <v>456956180</v>
      </c>
      <c r="H14" s="50">
        <v>0.11600000000000001</v>
      </c>
    </row>
    <row r="15" spans="2:9" ht="6.75" customHeight="1" x14ac:dyDescent="0.3"/>
    <row r="16" spans="2:9" x14ac:dyDescent="0.3">
      <c r="D16" s="46" t="s">
        <v>8</v>
      </c>
      <c r="E16" s="52">
        <v>34270</v>
      </c>
    </row>
    <row r="19" spans="4:9" x14ac:dyDescent="0.3">
      <c r="D19" s="117" t="s">
        <v>32</v>
      </c>
      <c r="E19" s="117"/>
      <c r="F19" s="117"/>
      <c r="G19" s="117"/>
      <c r="H19" s="117"/>
      <c r="I19" s="117"/>
    </row>
    <row r="20" spans="4:9" x14ac:dyDescent="0.3">
      <c r="D20" s="117"/>
      <c r="E20" s="117"/>
      <c r="F20" s="117"/>
      <c r="G20" s="117"/>
      <c r="H20" s="117"/>
      <c r="I20" s="117"/>
    </row>
    <row r="21" spans="4:9" x14ac:dyDescent="0.3">
      <c r="D21" s="117"/>
      <c r="E21" s="117"/>
      <c r="F21" s="117"/>
      <c r="G21" s="117"/>
      <c r="H21" s="117"/>
      <c r="I21" s="117"/>
    </row>
    <row r="22" spans="4:9" hidden="1" x14ac:dyDescent="0.3">
      <c r="D22" s="117"/>
      <c r="E22" s="117"/>
      <c r="F22" s="117"/>
      <c r="G22" s="117"/>
      <c r="H22" s="117"/>
      <c r="I22" s="117"/>
    </row>
    <row r="23" spans="4:9" ht="9.75" customHeight="1" x14ac:dyDescent="0.3">
      <c r="D23" s="117"/>
      <c r="E23" s="117"/>
      <c r="F23" s="117"/>
      <c r="G23" s="117"/>
      <c r="H23" s="117"/>
      <c r="I23" s="117"/>
    </row>
    <row r="24" spans="4:9" x14ac:dyDescent="0.3">
      <c r="D24" s="117"/>
      <c r="E24" s="117"/>
      <c r="F24" s="117"/>
      <c r="G24" s="117"/>
      <c r="H24" s="117"/>
      <c r="I24" s="117"/>
    </row>
    <row r="26" spans="4:9" x14ac:dyDescent="0.3">
      <c r="D26" s="118" t="s">
        <v>28</v>
      </c>
      <c r="E26" s="119"/>
      <c r="F26" s="119"/>
      <c r="G26" s="120"/>
      <c r="H26" s="121" t="s">
        <v>31</v>
      </c>
    </row>
    <row r="27" spans="4:9" ht="28" x14ac:dyDescent="0.3">
      <c r="D27" s="53" t="s">
        <v>35</v>
      </c>
      <c r="E27" s="53" t="s">
        <v>29</v>
      </c>
      <c r="F27" s="53" t="s">
        <v>36</v>
      </c>
      <c r="G27" s="53" t="s">
        <v>30</v>
      </c>
      <c r="H27" s="122"/>
    </row>
    <row r="28" spans="4:9" x14ac:dyDescent="0.3">
      <c r="D28" s="49">
        <v>0</v>
      </c>
      <c r="E28" s="49">
        <v>1000</v>
      </c>
      <c r="F28" s="49">
        <f>+D28*$E$33</f>
        <v>0</v>
      </c>
      <c r="G28" s="49">
        <f>+E28*$E$33</f>
        <v>34270000</v>
      </c>
      <c r="H28" s="50">
        <v>1.7999999999999999E-2</v>
      </c>
    </row>
    <row r="29" spans="4:9" x14ac:dyDescent="0.3">
      <c r="D29" s="49">
        <v>1000</v>
      </c>
      <c r="E29" s="49">
        <v>2500</v>
      </c>
      <c r="F29" s="49">
        <f t="shared" ref="F29:G31" si="1">+D29*$E$33</f>
        <v>34270000</v>
      </c>
      <c r="G29" s="49">
        <f t="shared" si="1"/>
        <v>85675000</v>
      </c>
      <c r="H29" s="50">
        <v>2.1999999999999999E-2</v>
      </c>
    </row>
    <row r="30" spans="4:9" x14ac:dyDescent="0.3">
      <c r="D30" s="49">
        <v>2500</v>
      </c>
      <c r="E30" s="49">
        <v>5000</v>
      </c>
      <c r="F30" s="49">
        <f t="shared" si="1"/>
        <v>85675000</v>
      </c>
      <c r="G30" s="49">
        <f t="shared" si="1"/>
        <v>171350000</v>
      </c>
      <c r="H30" s="50">
        <v>3.9E-2</v>
      </c>
    </row>
    <row r="31" spans="4:9" x14ac:dyDescent="0.3">
      <c r="D31" s="49">
        <v>5000</v>
      </c>
      <c r="E31" s="49">
        <v>13334</v>
      </c>
      <c r="F31" s="49">
        <f t="shared" si="1"/>
        <v>171350000</v>
      </c>
      <c r="G31" s="49">
        <f t="shared" si="1"/>
        <v>456956180</v>
      </c>
      <c r="H31" s="50">
        <v>5.3999999999999999E-2</v>
      </c>
    </row>
    <row r="33" spans="4:9" x14ac:dyDescent="0.3">
      <c r="D33" s="46" t="s">
        <v>8</v>
      </c>
      <c r="E33" s="52">
        <f>+E16</f>
        <v>34270</v>
      </c>
    </row>
    <row r="34" spans="4:9" x14ac:dyDescent="0.3">
      <c r="E34" s="52"/>
    </row>
    <row r="36" spans="4:9" x14ac:dyDescent="0.3">
      <c r="D36" s="117" t="s">
        <v>33</v>
      </c>
      <c r="E36" s="117"/>
      <c r="F36" s="117"/>
      <c r="G36" s="117"/>
      <c r="H36" s="117"/>
      <c r="I36" s="117"/>
    </row>
    <row r="37" spans="4:9" x14ac:dyDescent="0.3">
      <c r="D37" s="117"/>
      <c r="E37" s="117"/>
      <c r="F37" s="117"/>
      <c r="G37" s="117"/>
      <c r="H37" s="117"/>
      <c r="I37" s="117"/>
    </row>
    <row r="38" spans="4:9" x14ac:dyDescent="0.3">
      <c r="D38" s="117"/>
      <c r="E38" s="117"/>
      <c r="F38" s="117"/>
      <c r="G38" s="117"/>
      <c r="H38" s="117"/>
      <c r="I38" s="117"/>
    </row>
    <row r="39" spans="4:9" ht="4.5" customHeight="1" x14ac:dyDescent="0.3">
      <c r="D39" s="117"/>
      <c r="E39" s="117"/>
      <c r="F39" s="117"/>
      <c r="G39" s="117"/>
      <c r="H39" s="117"/>
      <c r="I39" s="117"/>
    </row>
    <row r="40" spans="4:9" hidden="1" x14ac:dyDescent="0.3">
      <c r="D40" s="117"/>
      <c r="E40" s="117"/>
      <c r="F40" s="117"/>
      <c r="G40" s="117"/>
      <c r="H40" s="117"/>
      <c r="I40" s="117"/>
    </row>
    <row r="41" spans="4:9" hidden="1" x14ac:dyDescent="0.3">
      <c r="D41" s="117"/>
      <c r="E41" s="117"/>
      <c r="F41" s="117"/>
      <c r="G41" s="117"/>
      <c r="H41" s="117"/>
      <c r="I41" s="117"/>
    </row>
    <row r="43" spans="4:9" x14ac:dyDescent="0.3">
      <c r="D43" s="118" t="s">
        <v>28</v>
      </c>
      <c r="E43" s="119"/>
      <c r="F43" s="119"/>
      <c r="G43" s="120"/>
      <c r="H43" s="121" t="s">
        <v>31</v>
      </c>
    </row>
    <row r="44" spans="4:9" ht="28" x14ac:dyDescent="0.3">
      <c r="D44" s="53" t="s">
        <v>35</v>
      </c>
      <c r="E44" s="53" t="s">
        <v>29</v>
      </c>
      <c r="F44" s="53" t="s">
        <v>36</v>
      </c>
      <c r="G44" s="53" t="s">
        <v>30</v>
      </c>
      <c r="H44" s="122"/>
    </row>
    <row r="45" spans="4:9" x14ac:dyDescent="0.3">
      <c r="D45" s="49">
        <v>0</v>
      </c>
      <c r="E45" s="49">
        <v>1000</v>
      </c>
      <c r="F45" s="49">
        <f>+D45*$E$33</f>
        <v>0</v>
      </c>
      <c r="G45" s="49">
        <f>+E45*$E$33</f>
        <v>34270000</v>
      </c>
      <c r="H45" s="50">
        <v>4.9000000000000002E-2</v>
      </c>
    </row>
    <row r="46" spans="4:9" x14ac:dyDescent="0.3">
      <c r="D46" s="49">
        <v>1000</v>
      </c>
      <c r="E46" s="49">
        <v>2500</v>
      </c>
      <c r="F46" s="49">
        <f t="shared" ref="F46:G48" si="2">+D46*$E$33</f>
        <v>34270000</v>
      </c>
      <c r="G46" s="49">
        <f t="shared" si="2"/>
        <v>85675000</v>
      </c>
      <c r="H46" s="50">
        <v>5.2999999999999999E-2</v>
      </c>
    </row>
    <row r="47" spans="4:9" x14ac:dyDescent="0.3">
      <c r="D47" s="49">
        <v>2500</v>
      </c>
      <c r="E47" s="49">
        <v>5000</v>
      </c>
      <c r="F47" s="49">
        <f t="shared" si="2"/>
        <v>85675000</v>
      </c>
      <c r="G47" s="49">
        <f t="shared" si="2"/>
        <v>171350000</v>
      </c>
      <c r="H47" s="50">
        <v>7.0000000000000007E-2</v>
      </c>
    </row>
    <row r="48" spans="4:9" x14ac:dyDescent="0.3">
      <c r="D48" s="49">
        <v>5000</v>
      </c>
      <c r="E48" s="49">
        <v>13334</v>
      </c>
      <c r="F48" s="49">
        <f t="shared" si="2"/>
        <v>171350000</v>
      </c>
      <c r="G48" s="49">
        <f t="shared" si="2"/>
        <v>456956180</v>
      </c>
      <c r="H48" s="50">
        <v>8.5000000000000006E-2</v>
      </c>
    </row>
    <row r="50" spans="4:10" x14ac:dyDescent="0.3">
      <c r="D50" s="46" t="s">
        <v>8</v>
      </c>
      <c r="E50" s="52">
        <f>+E33</f>
        <v>34270</v>
      </c>
    </row>
    <row r="53" spans="4:10" x14ac:dyDescent="0.3">
      <c r="D53" s="117" t="s">
        <v>34</v>
      </c>
      <c r="E53" s="117"/>
      <c r="F53" s="117"/>
      <c r="G53" s="117"/>
      <c r="H53" s="117"/>
      <c r="I53" s="117"/>
    </row>
    <row r="54" spans="4:10" ht="3.75" customHeight="1" x14ac:dyDescent="0.3">
      <c r="D54" s="117"/>
      <c r="E54" s="117"/>
      <c r="F54" s="117"/>
      <c r="G54" s="117"/>
      <c r="H54" s="117"/>
      <c r="I54" s="117"/>
    </row>
    <row r="55" spans="4:10" hidden="1" x14ac:dyDescent="0.3">
      <c r="D55" s="117"/>
      <c r="E55" s="117"/>
      <c r="F55" s="117"/>
      <c r="G55" s="117"/>
      <c r="H55" s="117"/>
      <c r="I55" s="117"/>
    </row>
    <row r="56" spans="4:10" hidden="1" x14ac:dyDescent="0.3">
      <c r="D56" s="117"/>
      <c r="E56" s="117"/>
      <c r="F56" s="117"/>
      <c r="G56" s="117"/>
      <c r="H56" s="117"/>
      <c r="I56" s="117"/>
    </row>
    <row r="57" spans="4:10" hidden="1" x14ac:dyDescent="0.3">
      <c r="D57" s="117"/>
      <c r="E57" s="117"/>
      <c r="F57" s="117"/>
      <c r="G57" s="117"/>
      <c r="H57" s="117"/>
      <c r="I57" s="117"/>
    </row>
    <row r="58" spans="4:10" hidden="1" x14ac:dyDescent="0.3">
      <c r="D58" s="117"/>
      <c r="E58" s="117"/>
      <c r="F58" s="117"/>
      <c r="G58" s="117"/>
      <c r="H58" s="117"/>
      <c r="I58" s="117"/>
    </row>
    <row r="60" spans="4:10" x14ac:dyDescent="0.3">
      <c r="D60" s="118" t="s">
        <v>28</v>
      </c>
      <c r="E60" s="119"/>
      <c r="F60" s="119"/>
      <c r="G60" s="120"/>
      <c r="H60" s="121" t="s">
        <v>31</v>
      </c>
      <c r="I60" s="121" t="s">
        <v>41</v>
      </c>
      <c r="J60" s="121" t="s">
        <v>42</v>
      </c>
    </row>
    <row r="61" spans="4:10" ht="28" x14ac:dyDescent="0.3">
      <c r="D61" s="53" t="s">
        <v>35</v>
      </c>
      <c r="E61" s="53" t="s">
        <v>29</v>
      </c>
      <c r="F61" s="53" t="s">
        <v>36</v>
      </c>
      <c r="G61" s="53" t="s">
        <v>30</v>
      </c>
      <c r="H61" s="122"/>
      <c r="I61" s="122"/>
      <c r="J61" s="122"/>
    </row>
    <row r="62" spans="4:10" x14ac:dyDescent="0.3">
      <c r="D62" s="49">
        <v>0</v>
      </c>
      <c r="E62" s="49">
        <v>1000</v>
      </c>
      <c r="F62" s="49">
        <f>+D62*$E$33</f>
        <v>0</v>
      </c>
      <c r="G62" s="49">
        <f>+E62*$E$33</f>
        <v>34270000</v>
      </c>
      <c r="H62" s="50">
        <v>3.4000000000000002E-2</v>
      </c>
      <c r="I62" s="50">
        <v>0.08</v>
      </c>
      <c r="J62" s="50">
        <f>+H62+I62</f>
        <v>0.114</v>
      </c>
    </row>
    <row r="63" spans="4:10" x14ac:dyDescent="0.3">
      <c r="D63" s="49">
        <v>1000</v>
      </c>
      <c r="E63" s="49">
        <v>2500</v>
      </c>
      <c r="F63" s="49">
        <f t="shared" ref="F63:G65" si="3">+D63*$E$33</f>
        <v>34270000</v>
      </c>
      <c r="G63" s="49">
        <f t="shared" si="3"/>
        <v>85675000</v>
      </c>
      <c r="H63" s="50">
        <v>3.7999999999999999E-2</v>
      </c>
      <c r="I63" s="50">
        <v>0.08</v>
      </c>
      <c r="J63" s="50">
        <f t="shared" ref="J63:J65" si="4">+H63+I63</f>
        <v>0.11799999999999999</v>
      </c>
    </row>
    <row r="64" spans="4:10" x14ac:dyDescent="0.3">
      <c r="D64" s="49">
        <v>2500</v>
      </c>
      <c r="E64" s="49">
        <v>5000</v>
      </c>
      <c r="F64" s="49">
        <f t="shared" si="3"/>
        <v>85675000</v>
      </c>
      <c r="G64" s="49">
        <f t="shared" si="3"/>
        <v>171350000</v>
      </c>
      <c r="H64" s="50">
        <v>5.5E-2</v>
      </c>
      <c r="I64" s="50">
        <v>0.08</v>
      </c>
      <c r="J64" s="50">
        <f t="shared" si="4"/>
        <v>0.13500000000000001</v>
      </c>
    </row>
    <row r="65" spans="4:10" x14ac:dyDescent="0.3">
      <c r="D65" s="49">
        <v>5000</v>
      </c>
      <c r="E65" s="49">
        <v>13334</v>
      </c>
      <c r="F65" s="49">
        <f t="shared" si="3"/>
        <v>171350000</v>
      </c>
      <c r="G65" s="49">
        <f t="shared" si="3"/>
        <v>456956180</v>
      </c>
      <c r="H65" s="50">
        <v>7.0000000000000007E-2</v>
      </c>
      <c r="I65" s="50">
        <v>0.08</v>
      </c>
      <c r="J65" s="50">
        <f t="shared" si="4"/>
        <v>0.15000000000000002</v>
      </c>
    </row>
    <row r="67" spans="4:10" x14ac:dyDescent="0.3">
      <c r="D67" s="46" t="s">
        <v>8</v>
      </c>
      <c r="E67" s="52">
        <f>+E50</f>
        <v>34270</v>
      </c>
    </row>
  </sheetData>
  <mergeCells count="14">
    <mergeCell ref="J60:J61"/>
    <mergeCell ref="D36:I41"/>
    <mergeCell ref="D43:G43"/>
    <mergeCell ref="H43:H44"/>
    <mergeCell ref="D53:I58"/>
    <mergeCell ref="D60:G60"/>
    <mergeCell ref="H60:H61"/>
    <mergeCell ref="I60:I61"/>
    <mergeCell ref="D7:I7"/>
    <mergeCell ref="D9:G9"/>
    <mergeCell ref="H9:H10"/>
    <mergeCell ref="D19:I24"/>
    <mergeCell ref="D26:G26"/>
    <mergeCell ref="H26:H27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>
    <tabColor rgb="FF00B0F0"/>
  </sheetPr>
  <dimension ref="A5:I20"/>
  <sheetViews>
    <sheetView workbookViewId="0">
      <selection activeCell="C7" sqref="C7:O12"/>
    </sheetView>
  </sheetViews>
  <sheetFormatPr baseColWidth="10" defaultRowHeight="10" x14ac:dyDescent="0.2"/>
  <cols>
    <col min="1" max="1" width="11.44140625" customWidth="1"/>
    <col min="2" max="2" width="11.77734375" customWidth="1"/>
    <col min="3" max="3" width="10.109375" bestFit="1" customWidth="1"/>
    <col min="4" max="4" width="18.6640625" customWidth="1"/>
    <col min="5" max="5" width="19.109375" customWidth="1"/>
    <col min="6" max="6" width="15.44140625" customWidth="1"/>
    <col min="7" max="7" width="15.33203125" customWidth="1"/>
    <col min="8" max="8" width="14.44140625" customWidth="1"/>
    <col min="9" max="9" width="15.6640625" customWidth="1"/>
  </cols>
  <sheetData>
    <row r="5" spans="1:9" ht="15" customHeight="1" x14ac:dyDescent="0.2">
      <c r="A5" s="54"/>
      <c r="B5" s="118" t="s">
        <v>45</v>
      </c>
      <c r="C5" s="119"/>
      <c r="D5" s="119"/>
      <c r="E5" s="120"/>
      <c r="F5" s="121" t="s">
        <v>37</v>
      </c>
      <c r="G5" s="121" t="s">
        <v>38</v>
      </c>
      <c r="H5" s="121" t="s">
        <v>39</v>
      </c>
      <c r="I5" s="121" t="s">
        <v>40</v>
      </c>
    </row>
    <row r="6" spans="1:9" ht="42" x14ac:dyDescent="0.2">
      <c r="B6" s="53" t="s">
        <v>35</v>
      </c>
      <c r="C6" s="53" t="s">
        <v>29</v>
      </c>
      <c r="D6" s="53" t="s">
        <v>36</v>
      </c>
      <c r="E6" s="53" t="s">
        <v>30</v>
      </c>
      <c r="F6" s="122"/>
      <c r="G6" s="122"/>
      <c r="H6" s="122"/>
      <c r="I6" s="122"/>
    </row>
    <row r="7" spans="1:9" ht="14" x14ac:dyDescent="0.3">
      <c r="B7" s="49">
        <v>0</v>
      </c>
      <c r="C7" s="49">
        <v>1000</v>
      </c>
      <c r="D7" s="49">
        <f t="shared" ref="D7:E10" si="0">+B7*$E$12</f>
        <v>0</v>
      </c>
      <c r="E7" s="49">
        <f t="shared" si="0"/>
        <v>34270000</v>
      </c>
      <c r="F7" s="50">
        <v>0.02</v>
      </c>
      <c r="G7" s="50">
        <v>1.7999999999999999E-2</v>
      </c>
      <c r="H7" s="50">
        <v>4.9000000000000002E-2</v>
      </c>
      <c r="I7" s="50">
        <v>3.4000000000000002E-2</v>
      </c>
    </row>
    <row r="8" spans="1:9" ht="14" x14ac:dyDescent="0.3">
      <c r="B8" s="49">
        <v>1000</v>
      </c>
      <c r="C8" s="49">
        <v>2500</v>
      </c>
      <c r="D8" s="49">
        <f t="shared" si="0"/>
        <v>34270000</v>
      </c>
      <c r="E8" s="49">
        <f t="shared" si="0"/>
        <v>85675000</v>
      </c>
      <c r="F8" s="50">
        <v>2.8000000000000001E-2</v>
      </c>
      <c r="G8" s="50">
        <v>2.1999999999999999E-2</v>
      </c>
      <c r="H8" s="50">
        <v>5.2999999999999999E-2</v>
      </c>
      <c r="I8" s="50">
        <v>3.7999999999999999E-2</v>
      </c>
    </row>
    <row r="9" spans="1:9" ht="14" x14ac:dyDescent="0.3">
      <c r="B9" s="49">
        <v>2500</v>
      </c>
      <c r="C9" s="49">
        <v>5000</v>
      </c>
      <c r="D9" s="49">
        <f t="shared" si="0"/>
        <v>85675000</v>
      </c>
      <c r="E9" s="49">
        <f t="shared" si="0"/>
        <v>171350000</v>
      </c>
      <c r="F9" s="50">
        <v>8.1000000000000003E-2</v>
      </c>
      <c r="G9" s="50">
        <v>3.9E-2</v>
      </c>
      <c r="H9" s="50">
        <v>7.0000000000000007E-2</v>
      </c>
      <c r="I9" s="50">
        <v>5.5E-2</v>
      </c>
    </row>
    <row r="10" spans="1:9" ht="14" x14ac:dyDescent="0.3">
      <c r="B10" s="49">
        <v>5000</v>
      </c>
      <c r="C10" s="49">
        <v>13334</v>
      </c>
      <c r="D10" s="49">
        <f t="shared" si="0"/>
        <v>171350000</v>
      </c>
      <c r="E10" s="49">
        <f t="shared" si="0"/>
        <v>456956180</v>
      </c>
      <c r="F10" s="50">
        <v>0.11600000000000001</v>
      </c>
      <c r="G10" s="50">
        <v>5.3999999999999999E-2</v>
      </c>
      <c r="H10" s="50">
        <v>8.5000000000000006E-2</v>
      </c>
      <c r="I10" s="50">
        <v>7.0000000000000007E-2</v>
      </c>
    </row>
    <row r="11" spans="1:9" ht="14" x14ac:dyDescent="0.3">
      <c r="D11" s="46"/>
      <c r="E11" s="46"/>
      <c r="F11" s="46"/>
    </row>
    <row r="12" spans="1:9" ht="14" x14ac:dyDescent="0.3">
      <c r="D12" s="46" t="s">
        <v>8</v>
      </c>
      <c r="E12" s="52">
        <v>34270</v>
      </c>
      <c r="F12" s="46"/>
    </row>
    <row r="20" spans="5:5" x14ac:dyDescent="0.2">
      <c r="E20" s="55"/>
    </row>
  </sheetData>
  <mergeCells count="5">
    <mergeCell ref="B5:E5"/>
    <mergeCell ref="F5:F6"/>
    <mergeCell ref="G5:G6"/>
    <mergeCell ref="H5:H6"/>
    <mergeCell ref="I5:I6"/>
  </mergeCells>
  <pageMargins left="0.7" right="0.7" top="0.75" bottom="0.75" header="0.3" footer="0.3"/>
  <pageSetup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C3:F20"/>
  <sheetViews>
    <sheetView workbookViewId="0">
      <selection activeCell="C7" sqref="C7:O12"/>
    </sheetView>
  </sheetViews>
  <sheetFormatPr baseColWidth="10" defaultRowHeight="10" x14ac:dyDescent="0.2"/>
  <cols>
    <col min="1" max="1" width="4.109375" customWidth="1"/>
    <col min="3" max="3" width="16.77734375" bestFit="1" customWidth="1"/>
    <col min="6" max="6" width="15.44140625" bestFit="1" customWidth="1"/>
  </cols>
  <sheetData>
    <row r="3" spans="3:6" ht="14" x14ac:dyDescent="0.2">
      <c r="C3" s="26" t="s">
        <v>14</v>
      </c>
    </row>
    <row r="4" spans="3:6" ht="14" x14ac:dyDescent="0.2">
      <c r="C4" s="26" t="s">
        <v>13</v>
      </c>
    </row>
    <row r="5" spans="3:6" ht="14" x14ac:dyDescent="0.2">
      <c r="C5" s="26">
        <v>4.1399999999999997</v>
      </c>
    </row>
    <row r="6" spans="3:6" ht="14" x14ac:dyDescent="0.2">
      <c r="C6" s="26">
        <v>6.9</v>
      </c>
    </row>
    <row r="7" spans="3:6" ht="14" x14ac:dyDescent="0.2">
      <c r="C7" s="26">
        <v>9.66</v>
      </c>
    </row>
    <row r="8" spans="3:6" ht="14" x14ac:dyDescent="0.2">
      <c r="C8" s="26">
        <v>11.04</v>
      </c>
    </row>
    <row r="9" spans="3:6" ht="14" x14ac:dyDescent="0.2">
      <c r="C9" s="26">
        <v>13.8</v>
      </c>
      <c r="F9" s="2"/>
    </row>
    <row r="10" spans="3:6" x14ac:dyDescent="0.2">
      <c r="F10" s="2"/>
    </row>
    <row r="11" spans="3:6" x14ac:dyDescent="0.2">
      <c r="F11" s="2"/>
    </row>
    <row r="12" spans="3:6" x14ac:dyDescent="0.2">
      <c r="F12" s="2"/>
    </row>
    <row r="13" spans="3:6" x14ac:dyDescent="0.2">
      <c r="C13" s="2"/>
      <c r="F13" s="2"/>
    </row>
    <row r="14" spans="3:6" x14ac:dyDescent="0.2">
      <c r="C14" s="2"/>
      <c r="F14" s="2"/>
    </row>
    <row r="15" spans="3:6" x14ac:dyDescent="0.2">
      <c r="C15" s="2"/>
      <c r="F15" s="2"/>
    </row>
    <row r="16" spans="3:6" x14ac:dyDescent="0.2">
      <c r="C16" s="2"/>
      <c r="F16" s="2"/>
    </row>
    <row r="17" spans="3:6" x14ac:dyDescent="0.2">
      <c r="C17" s="2"/>
      <c r="F17" s="2"/>
    </row>
    <row r="18" spans="3:6" x14ac:dyDescent="0.2">
      <c r="C18" s="25"/>
      <c r="F18" s="2"/>
    </row>
    <row r="19" spans="3:6" x14ac:dyDescent="0.2">
      <c r="C19" s="2"/>
    </row>
    <row r="20" spans="3:6" x14ac:dyDescent="0.2">
      <c r="C20" s="2"/>
    </row>
  </sheetData>
  <pageMargins left="0.7" right="0.7" top="0.75" bottom="0.75" header="0.3" footer="0.3"/>
  <pageSetup orientation="portrait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/>
  <dimension ref="A1:S72"/>
  <sheetViews>
    <sheetView zoomScale="115" zoomScaleNormal="115" workbookViewId="0">
      <pane ySplit="3" topLeftCell="A4" activePane="bottomLeft" state="frozen"/>
      <selection activeCell="L10" sqref="L10"/>
      <selection pane="bottomLeft" activeCell="C7" sqref="C7:O12"/>
    </sheetView>
  </sheetViews>
  <sheetFormatPr baseColWidth="10" defaultRowHeight="10" x14ac:dyDescent="0.2"/>
  <cols>
    <col min="1" max="1" width="0.77734375" hidden="1" customWidth="1"/>
    <col min="2" max="2" width="12" customWidth="1"/>
    <col min="3" max="3" width="9.33203125" customWidth="1"/>
    <col min="4" max="4" width="9" customWidth="1"/>
    <col min="5" max="5" width="17.33203125" customWidth="1"/>
    <col min="6" max="6" width="17.44140625" customWidth="1"/>
    <col min="7" max="7" width="7.109375" customWidth="1"/>
    <col min="8" max="8" width="2.6640625" customWidth="1"/>
    <col min="9" max="9" width="18.77734375" customWidth="1"/>
    <col min="10" max="10" width="7.77734375" customWidth="1"/>
    <col min="11" max="11" width="17.33203125" bestFit="1" customWidth="1"/>
    <col min="12" max="12" width="14.33203125" customWidth="1"/>
    <col min="13" max="13" width="12" hidden="1" customWidth="1"/>
    <col min="14" max="14" width="11" customWidth="1"/>
    <col min="15" max="15" width="12" hidden="1" customWidth="1"/>
    <col min="16" max="16" width="13.44140625" bestFit="1" customWidth="1"/>
    <col min="17" max="17" width="3.6640625" customWidth="1"/>
    <col min="18" max="18" width="10" hidden="1" customWidth="1"/>
    <col min="19" max="19" width="9.109375" hidden="1" customWidth="1"/>
  </cols>
  <sheetData>
    <row r="1" spans="2:19" ht="5.25" customHeight="1" x14ac:dyDescent="0.2"/>
    <row r="2" spans="2:19" ht="15" x14ac:dyDescent="0.3">
      <c r="C2" s="13" t="s">
        <v>2</v>
      </c>
    </row>
    <row r="3" spans="2:19" x14ac:dyDescent="0.2">
      <c r="C3" s="12" t="s">
        <v>0</v>
      </c>
    </row>
    <row r="4" spans="2:19" ht="6.75" customHeight="1" x14ac:dyDescent="0.2"/>
    <row r="5" spans="2:19" hidden="1" x14ac:dyDescent="0.2"/>
    <row r="6" spans="2:19" hidden="1" x14ac:dyDescent="0.2"/>
    <row r="7" spans="2:19" ht="15" customHeight="1" x14ac:dyDescent="0.2">
      <c r="C7" s="126" t="s">
        <v>1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</row>
    <row r="8" spans="2:19" x14ac:dyDescent="0.2"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</row>
    <row r="9" spans="2:19" x14ac:dyDescent="0.2"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</row>
    <row r="10" spans="2:19" x14ac:dyDescent="0.2"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</row>
    <row r="11" spans="2:19" x14ac:dyDescent="0.2"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</row>
    <row r="12" spans="2:19" x14ac:dyDescent="0.2"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</row>
    <row r="14" spans="2:19" x14ac:dyDescent="0.2">
      <c r="C14" s="127" t="s">
        <v>3</v>
      </c>
      <c r="D14" s="128"/>
      <c r="E14" s="128"/>
      <c r="F14" s="129"/>
      <c r="G14" s="7"/>
    </row>
    <row r="15" spans="2:19" ht="22.5" customHeight="1" x14ac:dyDescent="0.2">
      <c r="C15" s="8" t="s">
        <v>4</v>
      </c>
      <c r="D15" s="9" t="s">
        <v>5</v>
      </c>
      <c r="E15" s="8" t="s">
        <v>4</v>
      </c>
      <c r="F15" s="9" t="s">
        <v>5</v>
      </c>
      <c r="G15" s="9" t="s">
        <v>9</v>
      </c>
      <c r="R15" s="130" t="s">
        <v>24</v>
      </c>
      <c r="S15" s="130" t="s">
        <v>25</v>
      </c>
    </row>
    <row r="16" spans="2:19" ht="11.25" customHeight="1" x14ac:dyDescent="0.2">
      <c r="B16" s="32">
        <f>IF(AND($K$16&gt;E17,$K$16&lt;F17),G17,0)</f>
        <v>0</v>
      </c>
      <c r="C16" s="6" t="s">
        <v>6</v>
      </c>
      <c r="D16" s="6" t="s">
        <v>6</v>
      </c>
      <c r="E16" s="10" t="s">
        <v>7</v>
      </c>
      <c r="F16" s="10" t="s">
        <v>7</v>
      </c>
      <c r="G16" s="11" t="s">
        <v>10</v>
      </c>
      <c r="I16" s="27" t="s">
        <v>15</v>
      </c>
      <c r="J16" s="27"/>
      <c r="K16" s="2">
        <v>500000000</v>
      </c>
      <c r="L16" s="29" t="s">
        <v>20</v>
      </c>
      <c r="N16" s="28">
        <v>0.1</v>
      </c>
      <c r="R16" s="131"/>
      <c r="S16" s="131"/>
    </row>
    <row r="17" spans="2:19" x14ac:dyDescent="0.2">
      <c r="B17" s="32">
        <f>IF(AND($K$16&gt;E18,$K$16&lt;F18),G18,0)</f>
        <v>0</v>
      </c>
      <c r="C17" s="3">
        <v>1400</v>
      </c>
      <c r="D17" s="3">
        <v>6000</v>
      </c>
      <c r="E17" s="3">
        <f>+C17*$D$22</f>
        <v>46418400</v>
      </c>
      <c r="F17" s="3">
        <f>+D17*$D$22</f>
        <v>198936000</v>
      </c>
      <c r="G17" s="4">
        <v>2.5999999999999999E-2</v>
      </c>
      <c r="I17" s="27" t="s">
        <v>16</v>
      </c>
      <c r="J17" s="27"/>
      <c r="K17" s="34">
        <f>+K16*N16</f>
        <v>50000000</v>
      </c>
      <c r="L17" s="29" t="s">
        <v>21</v>
      </c>
      <c r="M17" s="2"/>
      <c r="N17" s="28">
        <f>+K17/K16</f>
        <v>0.1</v>
      </c>
      <c r="R17" s="4">
        <v>5.6000000000000001E-2</v>
      </c>
      <c r="S17" s="4">
        <v>0.111</v>
      </c>
    </row>
    <row r="18" spans="2:19" x14ac:dyDescent="0.2">
      <c r="B18" s="32">
        <f>IF(AND($K$16&gt;E19,$K$16&lt;F19),G19,0)</f>
        <v>4.1000000000000002E-2</v>
      </c>
      <c r="C18" s="3">
        <v>6000</v>
      </c>
      <c r="D18" s="3">
        <v>15000</v>
      </c>
      <c r="E18" s="3">
        <f t="shared" ref="E18:F20" si="0">+C18*$D$22</f>
        <v>198936000</v>
      </c>
      <c r="F18" s="3">
        <f t="shared" si="0"/>
        <v>497340000</v>
      </c>
      <c r="G18" s="4">
        <v>3.1E-2</v>
      </c>
      <c r="I18" s="35" t="s">
        <v>22</v>
      </c>
      <c r="J18" s="36">
        <v>0.33</v>
      </c>
      <c r="K18" s="37">
        <f>+K17*J18</f>
        <v>16500000</v>
      </c>
      <c r="L18" s="2"/>
      <c r="M18" s="2"/>
      <c r="R18" s="4">
        <v>6.6000000000000003E-2</v>
      </c>
      <c r="S18" s="4">
        <v>0.11600000000000001</v>
      </c>
    </row>
    <row r="19" spans="2:19" x14ac:dyDescent="0.2">
      <c r="B19" s="32">
        <f>IF(AND($K$16&gt;E20,$K$16&lt;F20),G20,0)</f>
        <v>0</v>
      </c>
      <c r="C19" s="3">
        <v>15000</v>
      </c>
      <c r="D19" s="3">
        <v>30000</v>
      </c>
      <c r="E19" s="3">
        <f t="shared" si="0"/>
        <v>497340000</v>
      </c>
      <c r="F19" s="3">
        <f t="shared" si="0"/>
        <v>994680000</v>
      </c>
      <c r="G19" s="4">
        <v>4.1000000000000002E-2</v>
      </c>
      <c r="I19" s="38" t="s">
        <v>19</v>
      </c>
      <c r="J19" s="39">
        <v>0.01</v>
      </c>
      <c r="K19" s="40">
        <f>+K16*J19</f>
        <v>5000000</v>
      </c>
      <c r="L19" s="2"/>
      <c r="M19" s="2"/>
      <c r="R19" s="4">
        <v>7.5999999999999998E-2</v>
      </c>
      <c r="S19" s="4">
        <v>0.121</v>
      </c>
    </row>
    <row r="20" spans="2:19" x14ac:dyDescent="0.2">
      <c r="B20" s="33">
        <f>SUM(B16:B19)</f>
        <v>4.1000000000000002E-2</v>
      </c>
      <c r="C20" s="3">
        <v>30000</v>
      </c>
      <c r="D20" s="3">
        <v>80000</v>
      </c>
      <c r="E20" s="3">
        <f t="shared" si="0"/>
        <v>994680000</v>
      </c>
      <c r="F20" s="3">
        <f t="shared" si="0"/>
        <v>2652480000</v>
      </c>
      <c r="G20" s="4">
        <v>5.6000000000000001E-2</v>
      </c>
      <c r="I20" s="38" t="s">
        <v>26</v>
      </c>
      <c r="J20" s="39">
        <v>0</v>
      </c>
      <c r="K20" s="40">
        <f>+K16*J20</f>
        <v>0</v>
      </c>
      <c r="L20" s="2"/>
      <c r="M20" s="2"/>
      <c r="P20" s="2"/>
      <c r="R20" s="4">
        <v>9.6000000000000002E-2</v>
      </c>
      <c r="S20" s="4">
        <v>0.13600000000000001</v>
      </c>
    </row>
    <row r="21" spans="2:19" x14ac:dyDescent="0.2">
      <c r="I21" s="41" t="s">
        <v>18</v>
      </c>
      <c r="J21" s="44"/>
      <c r="K21" s="43">
        <f>+K18+K19+K20</f>
        <v>21500000</v>
      </c>
      <c r="L21" s="2"/>
      <c r="M21" s="2"/>
    </row>
    <row r="22" spans="2:19" x14ac:dyDescent="0.2">
      <c r="C22" t="s">
        <v>8</v>
      </c>
      <c r="D22" s="2">
        <v>33156</v>
      </c>
      <c r="L22" s="2"/>
      <c r="M22" s="2"/>
      <c r="P22" s="25"/>
    </row>
    <row r="23" spans="2:19" x14ac:dyDescent="0.2">
      <c r="K23" s="2"/>
      <c r="L23" s="2"/>
      <c r="M23" s="2"/>
    </row>
    <row r="24" spans="2:19" x14ac:dyDescent="0.2">
      <c r="K24" s="2"/>
    </row>
    <row r="25" spans="2:19" x14ac:dyDescent="0.2">
      <c r="I25" s="41" t="s">
        <v>17</v>
      </c>
      <c r="J25" s="42">
        <f>+B20</f>
        <v>4.1000000000000002E-2</v>
      </c>
      <c r="K25" s="43">
        <f>+K16*J25</f>
        <v>20500000</v>
      </c>
      <c r="L25" s="45" t="str">
        <f>IF(K20&gt;0,"Modificque la tarifa de acuerdo a la tabla","")</f>
        <v/>
      </c>
    </row>
    <row r="27" spans="2:19" x14ac:dyDescent="0.2">
      <c r="I27" s="30" t="s">
        <v>23</v>
      </c>
      <c r="J27" s="30"/>
      <c r="K27" s="31">
        <f>+K25-K21</f>
        <v>-1000000</v>
      </c>
    </row>
    <row r="31" spans="2:19" x14ac:dyDescent="0.2">
      <c r="C31" s="126" t="s">
        <v>11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</row>
    <row r="32" spans="2:19" x14ac:dyDescent="0.2"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</row>
    <row r="33" spans="3:15" x14ac:dyDescent="0.2"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</row>
    <row r="34" spans="3:15" hidden="1" x14ac:dyDescent="0.2"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</row>
    <row r="35" spans="3:15" hidden="1" x14ac:dyDescent="0.2"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</row>
    <row r="36" spans="3:15" hidden="1" x14ac:dyDescent="0.2"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</row>
    <row r="38" spans="3:15" x14ac:dyDescent="0.2">
      <c r="C38" s="132" t="s">
        <v>3</v>
      </c>
      <c r="D38" s="133"/>
      <c r="E38" s="133"/>
      <c r="F38" s="134"/>
      <c r="G38" s="14"/>
    </row>
    <row r="39" spans="3:15" ht="30" x14ac:dyDescent="0.2">
      <c r="C39" s="15" t="s">
        <v>4</v>
      </c>
      <c r="D39" s="16" t="s">
        <v>5</v>
      </c>
      <c r="E39" s="15" t="s">
        <v>4</v>
      </c>
      <c r="F39" s="16" t="s">
        <v>5</v>
      </c>
      <c r="G39" s="16" t="s">
        <v>9</v>
      </c>
    </row>
    <row r="40" spans="3:15" x14ac:dyDescent="0.2">
      <c r="C40" s="17" t="s">
        <v>6</v>
      </c>
      <c r="D40" s="17" t="s">
        <v>6</v>
      </c>
      <c r="E40" s="18" t="s">
        <v>7</v>
      </c>
      <c r="F40" s="18" t="s">
        <v>7</v>
      </c>
      <c r="G40" s="19" t="s">
        <v>10</v>
      </c>
    </row>
    <row r="41" spans="3:15" x14ac:dyDescent="0.2">
      <c r="C41" s="3">
        <v>1400</v>
      </c>
      <c r="D41" s="3">
        <v>6000</v>
      </c>
      <c r="E41" s="3">
        <f>+C41*$D$22</f>
        <v>46418400</v>
      </c>
      <c r="F41" s="3">
        <f>+D41*$D$22</f>
        <v>198936000</v>
      </c>
      <c r="G41" s="4">
        <v>5.6000000000000001E-2</v>
      </c>
      <c r="I41" s="2"/>
      <c r="J41" s="2"/>
    </row>
    <row r="42" spans="3:15" x14ac:dyDescent="0.2">
      <c r="C42" s="3">
        <v>6000</v>
      </c>
      <c r="D42" s="3">
        <v>15000</v>
      </c>
      <c r="E42" s="3">
        <f t="shared" ref="E42:F44" si="1">+C42*$D$22</f>
        <v>198936000</v>
      </c>
      <c r="F42" s="3">
        <f t="shared" si="1"/>
        <v>497340000</v>
      </c>
      <c r="G42" s="4">
        <v>6.6000000000000003E-2</v>
      </c>
    </row>
    <row r="43" spans="3:15" x14ac:dyDescent="0.2">
      <c r="C43" s="3">
        <v>15000</v>
      </c>
      <c r="D43" s="3">
        <v>30000</v>
      </c>
      <c r="E43" s="3">
        <f t="shared" si="1"/>
        <v>497340000</v>
      </c>
      <c r="F43" s="3">
        <f t="shared" si="1"/>
        <v>994680000</v>
      </c>
      <c r="G43" s="4">
        <v>7.5999999999999998E-2</v>
      </c>
    </row>
    <row r="44" spans="3:15" x14ac:dyDescent="0.2">
      <c r="C44" s="3">
        <v>30000</v>
      </c>
      <c r="D44" s="3">
        <v>80000</v>
      </c>
      <c r="E44" s="3">
        <f t="shared" si="1"/>
        <v>994680000</v>
      </c>
      <c r="F44" s="3">
        <f t="shared" si="1"/>
        <v>2652480000</v>
      </c>
      <c r="G44" s="4">
        <v>9.6000000000000002E-2</v>
      </c>
      <c r="I44" s="2"/>
      <c r="J44" s="2"/>
    </row>
    <row r="46" spans="3:15" x14ac:dyDescent="0.2">
      <c r="C46" t="s">
        <v>8</v>
      </c>
      <c r="D46" s="2">
        <v>34270</v>
      </c>
    </row>
    <row r="57" spans="3:15" x14ac:dyDescent="0.2">
      <c r="C57" s="126" t="s">
        <v>12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</row>
    <row r="58" spans="3:15" x14ac:dyDescent="0.2"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</row>
    <row r="59" spans="3:15" ht="9.75" customHeight="1" x14ac:dyDescent="0.2"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</row>
    <row r="60" spans="3:15" hidden="1" x14ac:dyDescent="0.2"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</row>
    <row r="61" spans="3:15" hidden="1" x14ac:dyDescent="0.2"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</row>
    <row r="62" spans="3:15" hidden="1" x14ac:dyDescent="0.2"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</row>
    <row r="64" spans="3:15" x14ac:dyDescent="0.2">
      <c r="C64" s="123" t="s">
        <v>3</v>
      </c>
      <c r="D64" s="124"/>
      <c r="E64" s="124"/>
      <c r="F64" s="125"/>
      <c r="G64" s="20"/>
    </row>
    <row r="65" spans="3:10" ht="30" x14ac:dyDescent="0.2">
      <c r="C65" s="21" t="s">
        <v>4</v>
      </c>
      <c r="D65" s="22" t="s">
        <v>5</v>
      </c>
      <c r="E65" s="21" t="s">
        <v>4</v>
      </c>
      <c r="F65" s="22" t="s">
        <v>5</v>
      </c>
      <c r="G65" s="22" t="s">
        <v>9</v>
      </c>
    </row>
    <row r="66" spans="3:10" x14ac:dyDescent="0.2">
      <c r="C66" s="5" t="s">
        <v>6</v>
      </c>
      <c r="D66" s="5" t="s">
        <v>6</v>
      </c>
      <c r="E66" s="23" t="s">
        <v>7</v>
      </c>
      <c r="F66" s="23" t="s">
        <v>7</v>
      </c>
      <c r="G66" s="24" t="s">
        <v>10</v>
      </c>
    </row>
    <row r="67" spans="3:10" x14ac:dyDescent="0.2">
      <c r="C67" s="3">
        <v>1400</v>
      </c>
      <c r="D67" s="3">
        <v>6000</v>
      </c>
      <c r="E67" s="3">
        <f>+C67*$D$22</f>
        <v>46418400</v>
      </c>
      <c r="F67" s="3">
        <f>+D67*$D$22</f>
        <v>198936000</v>
      </c>
      <c r="G67" s="4">
        <v>0.111</v>
      </c>
      <c r="I67" s="1"/>
      <c r="J67" s="2"/>
    </row>
    <row r="68" spans="3:10" x14ac:dyDescent="0.2">
      <c r="C68" s="3">
        <v>6000</v>
      </c>
      <c r="D68" s="3">
        <v>15000</v>
      </c>
      <c r="E68" s="3">
        <f t="shared" ref="E68:F70" si="2">+C68*$D$22</f>
        <v>198936000</v>
      </c>
      <c r="F68" s="3">
        <f t="shared" si="2"/>
        <v>497340000</v>
      </c>
      <c r="G68" s="4">
        <v>0.11600000000000001</v>
      </c>
    </row>
    <row r="69" spans="3:10" x14ac:dyDescent="0.2">
      <c r="C69" s="3">
        <v>15000</v>
      </c>
      <c r="D69" s="3">
        <v>30000</v>
      </c>
      <c r="E69" s="3">
        <f t="shared" si="2"/>
        <v>497340000</v>
      </c>
      <c r="F69" s="3">
        <f t="shared" si="2"/>
        <v>994680000</v>
      </c>
      <c r="G69" s="4">
        <v>0.121</v>
      </c>
    </row>
    <row r="70" spans="3:10" x14ac:dyDescent="0.2">
      <c r="C70" s="3">
        <v>30000</v>
      </c>
      <c r="D70" s="3">
        <v>80000</v>
      </c>
      <c r="E70" s="3">
        <f t="shared" si="2"/>
        <v>994680000</v>
      </c>
      <c r="F70" s="3">
        <f t="shared" si="2"/>
        <v>2652480000</v>
      </c>
      <c r="G70" s="4">
        <v>0.13600000000000001</v>
      </c>
      <c r="I70" s="2"/>
      <c r="J70" s="2"/>
    </row>
    <row r="72" spans="3:10" x14ac:dyDescent="0.2">
      <c r="C72" t="s">
        <v>8</v>
      </c>
      <c r="D72" s="2">
        <v>34270</v>
      </c>
    </row>
  </sheetData>
  <mergeCells count="8">
    <mergeCell ref="C64:F64"/>
    <mergeCell ref="C7:O12"/>
    <mergeCell ref="C14:F14"/>
    <mergeCell ref="R15:R16"/>
    <mergeCell ref="S15:S16"/>
    <mergeCell ref="C31:O36"/>
    <mergeCell ref="C38:F38"/>
    <mergeCell ref="C57:O62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">
    <tabColor rgb="FF00B050"/>
  </sheetPr>
  <dimension ref="A1:R51"/>
  <sheetViews>
    <sheetView tabSelected="1" zoomScaleNormal="100" workbookViewId="0">
      <pane ySplit="5" topLeftCell="A6" activePane="bottomLeft" state="frozen"/>
      <selection pane="bottomLeft" activeCell="Q18" sqref="Q18"/>
    </sheetView>
  </sheetViews>
  <sheetFormatPr baseColWidth="10" defaultColWidth="12" defaultRowHeight="14.25" customHeight="1" x14ac:dyDescent="0.2"/>
  <cols>
    <col min="1" max="1" width="2.109375" style="59" customWidth="1"/>
    <col min="2" max="2" width="24.33203125" style="59" hidden="1" customWidth="1"/>
    <col min="3" max="3" width="15.21875" style="59" hidden="1" customWidth="1"/>
    <col min="4" max="4" width="20.33203125" style="59" customWidth="1"/>
    <col min="5" max="5" width="20.109375" style="59" customWidth="1"/>
    <col min="6" max="6" width="18.6640625" style="59" customWidth="1"/>
    <col min="7" max="7" width="20.33203125" style="59" customWidth="1"/>
    <col min="8" max="8" width="20.44140625" style="59" customWidth="1"/>
    <col min="9" max="9" width="19.33203125" style="59" customWidth="1"/>
    <col min="10" max="10" width="17.109375" style="59" hidden="1" customWidth="1"/>
    <col min="11" max="11" width="18.109375" style="59" hidden="1" customWidth="1"/>
    <col min="12" max="12" width="10.109375" style="59" hidden="1" customWidth="1"/>
    <col min="13" max="13" width="15.109375" style="59" hidden="1" customWidth="1"/>
    <col min="14" max="14" width="6.6640625" style="59" customWidth="1"/>
    <col min="15" max="15" width="17.6640625" style="59" customWidth="1"/>
    <col min="16" max="16" width="16.33203125" style="59" customWidth="1"/>
    <col min="17" max="16384" width="12" style="59"/>
  </cols>
  <sheetData>
    <row r="1" spans="2:18" ht="2.25" customHeight="1" x14ac:dyDescent="0.2"/>
    <row r="2" spans="2:18" ht="14.25" customHeight="1" x14ac:dyDescent="0.2">
      <c r="B2" s="111"/>
      <c r="C2" s="111"/>
      <c r="D2" s="69"/>
      <c r="E2" s="135" t="s">
        <v>55</v>
      </c>
      <c r="F2" s="135"/>
      <c r="G2" s="135"/>
      <c r="H2" s="135"/>
      <c r="I2" s="135"/>
    </row>
    <row r="3" spans="2:18" ht="14.25" customHeight="1" x14ac:dyDescent="0.2">
      <c r="D3" s="69"/>
      <c r="E3" s="135"/>
      <c r="F3" s="135"/>
      <c r="G3" s="135"/>
      <c r="H3" s="135"/>
      <c r="I3" s="135"/>
    </row>
    <row r="4" spans="2:18" ht="14.25" customHeight="1" x14ac:dyDescent="0.2">
      <c r="D4" s="69"/>
      <c r="E4" s="135"/>
      <c r="F4" s="135"/>
      <c r="G4" s="135"/>
      <c r="H4" s="135"/>
      <c r="I4" s="135"/>
    </row>
    <row r="5" spans="2:18" ht="6.75" customHeight="1" x14ac:dyDescent="0.2">
      <c r="D5" s="69"/>
      <c r="E5" s="135"/>
      <c r="F5" s="135"/>
      <c r="G5" s="135"/>
      <c r="H5" s="135"/>
      <c r="I5" s="135"/>
    </row>
    <row r="6" spans="2:18" ht="5.25" hidden="1" customHeight="1" x14ac:dyDescent="0.2">
      <c r="L6"/>
    </row>
    <row r="7" spans="2:18" ht="14.25" hidden="1" customHeight="1" x14ac:dyDescent="0.2"/>
    <row r="8" spans="2:18" ht="9.75" customHeight="1" x14ac:dyDescent="0.2"/>
    <row r="9" spans="2:18" ht="14.25" customHeight="1" x14ac:dyDescent="0.3">
      <c r="D9" s="81" t="s">
        <v>56</v>
      </c>
      <c r="E9" s="74" t="s">
        <v>51</v>
      </c>
      <c r="F9" s="60"/>
      <c r="G9" s="79" t="s">
        <v>59</v>
      </c>
      <c r="H9" s="90">
        <v>0.35</v>
      </c>
      <c r="I9" s="76">
        <f>+E12*H9</f>
        <v>84000000</v>
      </c>
      <c r="J9" s="60"/>
      <c r="K9" s="60"/>
      <c r="L9" s="60"/>
      <c r="O9" s="110" t="s">
        <v>75</v>
      </c>
    </row>
    <row r="10" spans="2:18" ht="14.25" customHeight="1" x14ac:dyDescent="0.3">
      <c r="D10" s="81" t="s">
        <v>47</v>
      </c>
      <c r="E10" s="75">
        <v>800000000</v>
      </c>
      <c r="F10" s="61"/>
      <c r="G10" s="80" t="s">
        <v>63</v>
      </c>
      <c r="H10" s="91">
        <v>9.66</v>
      </c>
      <c r="I10" s="77">
        <f>+E10*H10/1000</f>
        <v>7728000</v>
      </c>
      <c r="J10" s="61"/>
      <c r="K10" s="60"/>
      <c r="L10" s="60"/>
      <c r="R10" s="88"/>
    </row>
    <row r="11" spans="2:18" ht="14.25" customHeight="1" x14ac:dyDescent="0.3">
      <c r="D11" s="81" t="s">
        <v>48</v>
      </c>
      <c r="E11" s="87">
        <v>0.3</v>
      </c>
      <c r="F11" s="92"/>
      <c r="G11" s="80" t="s">
        <v>64</v>
      </c>
      <c r="H11" s="89">
        <v>0.15</v>
      </c>
      <c r="I11" s="77">
        <f>+I10*H11</f>
        <v>1159200</v>
      </c>
      <c r="J11" s="61"/>
      <c r="K11" s="60"/>
      <c r="L11" s="60"/>
    </row>
    <row r="12" spans="2:18" ht="14.25" customHeight="1" x14ac:dyDescent="0.3">
      <c r="D12" s="81" t="s">
        <v>58</v>
      </c>
      <c r="E12" s="75">
        <f>+E10*E11</f>
        <v>240000000</v>
      </c>
      <c r="F12" s="61"/>
      <c r="G12" s="114" t="s">
        <v>60</v>
      </c>
      <c r="H12" s="112"/>
      <c r="I12" s="113">
        <f>SUM(I9:I11)</f>
        <v>92887200</v>
      </c>
      <c r="J12" s="61"/>
      <c r="K12" s="60"/>
      <c r="L12" s="60"/>
      <c r="R12" s="88"/>
    </row>
    <row r="13" spans="2:18" s="62" customFormat="1" ht="14.25" customHeight="1" x14ac:dyDescent="0.3">
      <c r="D13" s="81" t="s">
        <v>65</v>
      </c>
      <c r="E13" s="93">
        <f>IFERROR(E12/E10,0)</f>
        <v>0.3</v>
      </c>
      <c r="F13" s="57"/>
      <c r="G13" s="59"/>
      <c r="H13" s="59"/>
      <c r="I13" s="59"/>
      <c r="J13" s="57"/>
      <c r="O13" s="85" t="str">
        <f>IF(P13&lt;0, "Ahorro","Mayor impuesto")</f>
        <v>Ahorro</v>
      </c>
      <c r="P13" s="116">
        <f>+I17-I12</f>
        <v>-11831200</v>
      </c>
    </row>
    <row r="14" spans="2:18" ht="14.25" customHeight="1" x14ac:dyDescent="0.3">
      <c r="D14" s="81" t="s">
        <v>53</v>
      </c>
      <c r="E14" s="75">
        <v>36308</v>
      </c>
      <c r="F14" s="61"/>
      <c r="G14" s="94" t="s">
        <v>72</v>
      </c>
      <c r="H14" s="95">
        <f>VLOOKUP(E9,D37:E40,2,0)</f>
        <v>0.12</v>
      </c>
      <c r="I14" s="78">
        <f>+E10*H14</f>
        <v>96000000</v>
      </c>
      <c r="J14" s="61"/>
      <c r="K14" s="60"/>
      <c r="L14" s="60"/>
      <c r="O14" s="145" t="str">
        <f>IF(P13&lt;0,"Es conveniente","No es conveniente")</f>
        <v>Es conveniente</v>
      </c>
      <c r="P14" s="145"/>
    </row>
    <row r="15" spans="2:18" ht="14.25" customHeight="1" x14ac:dyDescent="0.3">
      <c r="D15" s="109" t="s">
        <v>78</v>
      </c>
      <c r="E15" s="61"/>
      <c r="F15" s="61"/>
      <c r="G15" s="102" t="s">
        <v>66</v>
      </c>
      <c r="H15" s="103"/>
      <c r="I15" s="107">
        <f>-F47</f>
        <v>-10944000</v>
      </c>
      <c r="J15" s="61"/>
      <c r="K15" s="60"/>
      <c r="L15" s="60"/>
    </row>
    <row r="16" spans="2:18" ht="14.25" customHeight="1" x14ac:dyDescent="0.3">
      <c r="D16" s="109" t="s">
        <v>77</v>
      </c>
      <c r="E16" s="61"/>
      <c r="F16" s="61"/>
      <c r="G16" s="102" t="s">
        <v>70</v>
      </c>
      <c r="H16" s="103"/>
      <c r="I16" s="107">
        <f>-F50</f>
        <v>-4000000</v>
      </c>
      <c r="J16" s="61"/>
      <c r="K16" s="60"/>
      <c r="L16" s="60"/>
    </row>
    <row r="17" spans="1:16" ht="14.25" customHeight="1" x14ac:dyDescent="0.3">
      <c r="D17" s="60"/>
      <c r="E17" s="61"/>
      <c r="F17" s="61"/>
      <c r="G17" s="114" t="s">
        <v>76</v>
      </c>
      <c r="H17" s="115"/>
      <c r="I17" s="113">
        <f>IF(I14+I15+I16&lt;0,I10+I11,I14+I15+I16)</f>
        <v>81056000</v>
      </c>
      <c r="J17" s="61"/>
      <c r="K17" s="60"/>
      <c r="L17" s="60"/>
      <c r="P17" s="84"/>
    </row>
    <row r="18" spans="1:16" ht="14.25" customHeight="1" x14ac:dyDescent="0.3">
      <c r="D18" s="60"/>
      <c r="E18" s="61"/>
      <c r="F18" s="61"/>
      <c r="G18" s="61"/>
      <c r="H18" s="61"/>
      <c r="I18" s="61"/>
      <c r="J18" s="61"/>
      <c r="K18" s="60"/>
      <c r="L18" s="60"/>
    </row>
    <row r="19" spans="1:16" ht="14.25" customHeight="1" x14ac:dyDescent="0.3">
      <c r="D19" s="136" t="str">
        <f>VLOOKUP(E9,'Grupo de actividades'!$D$37:$E$40,2,0)</f>
        <v xml:space="preserve">3. Servicios profesionales, de consultoría y científicos en los que predomine el factor intelectual </v>
      </c>
      <c r="E19" s="137"/>
      <c r="F19" s="137"/>
      <c r="G19" s="137"/>
      <c r="H19" s="137"/>
      <c r="I19" s="138"/>
      <c r="J19" s="61"/>
      <c r="K19" s="60"/>
      <c r="L19" s="60"/>
    </row>
    <row r="20" spans="1:16" ht="14.25" customHeight="1" x14ac:dyDescent="0.3">
      <c r="D20" s="139"/>
      <c r="E20" s="140"/>
      <c r="F20" s="140"/>
      <c r="G20" s="140"/>
      <c r="H20" s="140"/>
      <c r="I20" s="141"/>
      <c r="J20" s="61"/>
      <c r="K20" s="60"/>
      <c r="L20" s="60"/>
    </row>
    <row r="21" spans="1:16" ht="14.25" customHeight="1" x14ac:dyDescent="0.3">
      <c r="D21" s="139"/>
      <c r="E21" s="140"/>
      <c r="F21" s="140"/>
      <c r="G21" s="140"/>
      <c r="H21" s="140"/>
      <c r="I21" s="141"/>
      <c r="J21" s="61"/>
      <c r="K21" s="60"/>
      <c r="L21" s="60"/>
    </row>
    <row r="22" spans="1:16" ht="14.25" customHeight="1" x14ac:dyDescent="0.3">
      <c r="D22" s="139"/>
      <c r="E22" s="140"/>
      <c r="F22" s="140"/>
      <c r="G22" s="140"/>
      <c r="H22" s="140"/>
      <c r="I22" s="141"/>
      <c r="J22" s="61"/>
      <c r="K22" s="60"/>
      <c r="L22" s="60"/>
    </row>
    <row r="23" spans="1:16" ht="2.25" customHeight="1" x14ac:dyDescent="0.3">
      <c r="D23" s="142"/>
      <c r="E23" s="143"/>
      <c r="F23" s="143"/>
      <c r="G23" s="143"/>
      <c r="H23" s="143"/>
      <c r="I23" s="144"/>
      <c r="J23" s="61"/>
      <c r="K23" s="60"/>
      <c r="L23" s="60"/>
    </row>
    <row r="24" spans="1:16" ht="8.25" customHeight="1" x14ac:dyDescent="0.3">
      <c r="D24" s="60"/>
      <c r="E24" s="60"/>
      <c r="F24" s="60"/>
      <c r="G24" s="60"/>
      <c r="H24" s="60"/>
      <c r="I24" s="60"/>
      <c r="J24" s="60"/>
      <c r="K24" s="60"/>
      <c r="L24" s="60"/>
    </row>
    <row r="25" spans="1:16" ht="14.25" hidden="1" customHeight="1" x14ac:dyDescent="0.3">
      <c r="D25" s="60"/>
      <c r="E25" s="60"/>
      <c r="F25" s="60"/>
      <c r="G25" s="60"/>
      <c r="H25" s="60"/>
      <c r="I25" s="60"/>
      <c r="J25" s="60"/>
      <c r="K25" s="60"/>
      <c r="L25" s="60"/>
    </row>
    <row r="26" spans="1:16" ht="14.25" customHeight="1" x14ac:dyDescent="0.2">
      <c r="A26" s="63"/>
      <c r="B26" s="148" t="s">
        <v>28</v>
      </c>
      <c r="C26" s="149"/>
      <c r="D26" s="149"/>
      <c r="E26" s="150"/>
      <c r="F26" s="151" t="s">
        <v>37</v>
      </c>
      <c r="G26" s="151" t="s">
        <v>38</v>
      </c>
      <c r="H26" s="151" t="s">
        <v>39</v>
      </c>
      <c r="I26" s="151" t="s">
        <v>40</v>
      </c>
      <c r="J26" s="146" t="s">
        <v>49</v>
      </c>
      <c r="K26" s="146" t="s">
        <v>50</v>
      </c>
      <c r="L26" s="146" t="s">
        <v>51</v>
      </c>
      <c r="M26" s="146" t="s">
        <v>52</v>
      </c>
    </row>
    <row r="27" spans="1:16" ht="24" customHeight="1" x14ac:dyDescent="0.2">
      <c r="B27" s="70" t="s">
        <v>35</v>
      </c>
      <c r="C27" s="70" t="s">
        <v>29</v>
      </c>
      <c r="D27" s="70" t="s">
        <v>36</v>
      </c>
      <c r="E27" s="70" t="s">
        <v>30</v>
      </c>
      <c r="F27" s="152"/>
      <c r="G27" s="152"/>
      <c r="H27" s="152"/>
      <c r="I27" s="152"/>
      <c r="J27" s="147"/>
      <c r="K27" s="147"/>
      <c r="L27" s="147"/>
      <c r="M27" s="147"/>
    </row>
    <row r="28" spans="1:16" ht="14.25" customHeight="1" x14ac:dyDescent="0.3">
      <c r="B28" s="64">
        <v>0</v>
      </c>
      <c r="C28" s="64">
        <v>6000</v>
      </c>
      <c r="D28" s="64">
        <f t="shared" ref="D28:E31" si="0">+B28*$E$33</f>
        <v>0</v>
      </c>
      <c r="E28" s="64">
        <f t="shared" si="0"/>
        <v>217848000</v>
      </c>
      <c r="F28" s="65">
        <v>0.02</v>
      </c>
      <c r="G28" s="65">
        <v>1.7999999999999999E-2</v>
      </c>
      <c r="H28" s="65">
        <v>5.8999999999999997E-2</v>
      </c>
      <c r="I28" s="65">
        <v>3.4000000000000002E-2</v>
      </c>
      <c r="J28" s="65">
        <f>IF(AND($E$10&gt;=D28,$E$10&lt;E28),F28,0)</f>
        <v>0</v>
      </c>
      <c r="K28" s="65">
        <f>IF(AND($E$10&gt;=D28,$E$10&lt;E28),G28,0)</f>
        <v>0</v>
      </c>
      <c r="L28" s="65">
        <f>IF(AND($E$10&gt;=D28,$E$10&lt;E28),H28,0)</f>
        <v>0</v>
      </c>
      <c r="M28" s="65">
        <f>IF(AND($E$10&gt;=D28,$E$10&lt;E28),I28,0)</f>
        <v>0</v>
      </c>
    </row>
    <row r="29" spans="1:16" ht="14.25" customHeight="1" x14ac:dyDescent="0.3">
      <c r="B29" s="64">
        <v>6000</v>
      </c>
      <c r="C29" s="64">
        <v>15000</v>
      </c>
      <c r="D29" s="64">
        <f t="shared" si="0"/>
        <v>217848000</v>
      </c>
      <c r="E29" s="64">
        <f t="shared" si="0"/>
        <v>544620000</v>
      </c>
      <c r="F29" s="65">
        <v>2.8000000000000001E-2</v>
      </c>
      <c r="G29" s="65">
        <v>2.1999999999999999E-2</v>
      </c>
      <c r="H29" s="65">
        <v>7.2999999999999995E-2</v>
      </c>
      <c r="I29" s="65">
        <v>3.7999999999999999E-2</v>
      </c>
      <c r="J29" s="65">
        <f t="shared" ref="J29:J31" si="1">IF(AND($E$10&gt;=D29,$E$10&lt;E29),F29,0)</f>
        <v>0</v>
      </c>
      <c r="K29" s="65">
        <f t="shared" ref="K29:K31" si="2">IF(AND($E$10&gt;=D29,$E$10&lt;E29),G29,0)</f>
        <v>0</v>
      </c>
      <c r="L29" s="65">
        <f t="shared" ref="L29:L31" si="3">IF(AND($E$10&gt;=D29,$E$10&lt;E29),H29,0)</f>
        <v>0</v>
      </c>
      <c r="M29" s="65">
        <f t="shared" ref="M29:M31" si="4">IF(AND($E$10&gt;=D29,$E$10&lt;E29),I29,0)</f>
        <v>0</v>
      </c>
    </row>
    <row r="30" spans="1:16" ht="14.25" customHeight="1" x14ac:dyDescent="0.3">
      <c r="B30" s="64">
        <v>15000</v>
      </c>
      <c r="C30" s="64">
        <v>30000</v>
      </c>
      <c r="D30" s="64">
        <f t="shared" si="0"/>
        <v>544620000</v>
      </c>
      <c r="E30" s="64">
        <f t="shared" si="0"/>
        <v>1089240000</v>
      </c>
      <c r="F30" s="65">
        <v>8.1000000000000003E-2</v>
      </c>
      <c r="G30" s="65">
        <v>3.9E-2</v>
      </c>
      <c r="H30" s="65">
        <v>0.12</v>
      </c>
      <c r="I30" s="65">
        <v>5.5E-2</v>
      </c>
      <c r="J30" s="65">
        <f t="shared" si="1"/>
        <v>8.1000000000000003E-2</v>
      </c>
      <c r="K30" s="65">
        <f t="shared" si="2"/>
        <v>3.9E-2</v>
      </c>
      <c r="L30" s="65">
        <f t="shared" si="3"/>
        <v>0.12</v>
      </c>
      <c r="M30" s="65">
        <f t="shared" si="4"/>
        <v>5.5E-2</v>
      </c>
    </row>
    <row r="31" spans="1:16" ht="14.25" customHeight="1" x14ac:dyDescent="0.3">
      <c r="B31" s="64">
        <v>30000</v>
      </c>
      <c r="C31" s="64">
        <v>100000</v>
      </c>
      <c r="D31" s="64">
        <f t="shared" si="0"/>
        <v>1089240000</v>
      </c>
      <c r="E31" s="64">
        <f t="shared" si="0"/>
        <v>3630800000</v>
      </c>
      <c r="F31" s="65">
        <v>0.11600000000000001</v>
      </c>
      <c r="G31" s="65">
        <v>5.3999999999999999E-2</v>
      </c>
      <c r="H31" s="65">
        <v>0.14499999999999999</v>
      </c>
      <c r="I31" s="65">
        <v>7.0000000000000007E-2</v>
      </c>
      <c r="J31" s="65">
        <f t="shared" si="1"/>
        <v>0</v>
      </c>
      <c r="K31" s="65">
        <f t="shared" si="2"/>
        <v>0</v>
      </c>
      <c r="L31" s="65">
        <f t="shared" si="3"/>
        <v>0</v>
      </c>
      <c r="M31" s="65">
        <f t="shared" si="4"/>
        <v>0</v>
      </c>
    </row>
    <row r="32" spans="1:16" ht="14.25" customHeight="1" x14ac:dyDescent="0.3">
      <c r="D32" s="58"/>
      <c r="E32" s="58"/>
      <c r="F32" s="83">
        <f>+J32</f>
        <v>8.1000000000000003E-2</v>
      </c>
      <c r="G32" s="83">
        <f>+K32</f>
        <v>3.9E-2</v>
      </c>
      <c r="H32" s="83">
        <f>+L32</f>
        <v>0.12</v>
      </c>
      <c r="I32" s="83">
        <f>+M32</f>
        <v>5.5E-2</v>
      </c>
      <c r="J32" s="83">
        <f>SUM(J28:J31)</f>
        <v>8.1000000000000003E-2</v>
      </c>
      <c r="K32" s="83">
        <f t="shared" ref="K32:M32" si="5">SUM(K28:K31)</f>
        <v>3.9E-2</v>
      </c>
      <c r="L32" s="83">
        <f t="shared" si="5"/>
        <v>0.12</v>
      </c>
      <c r="M32" s="83">
        <f t="shared" si="5"/>
        <v>5.5E-2</v>
      </c>
    </row>
    <row r="33" spans="4:8" ht="14" hidden="1" x14ac:dyDescent="0.3">
      <c r="D33" s="58" t="s">
        <v>74</v>
      </c>
      <c r="E33" s="66">
        <f>+E14</f>
        <v>36308</v>
      </c>
      <c r="F33" s="58"/>
    </row>
    <row r="34" spans="4:8" ht="12.75" customHeight="1" x14ac:dyDescent="0.2"/>
    <row r="35" spans="4:8" ht="14.25" hidden="1" customHeight="1" x14ac:dyDescent="0.2"/>
    <row r="36" spans="4:8" ht="14.25" hidden="1" customHeight="1" x14ac:dyDescent="0.2"/>
    <row r="37" spans="4:8" ht="1.5" hidden="1" customHeight="1" x14ac:dyDescent="0.2">
      <c r="D37" s="59" t="s">
        <v>49</v>
      </c>
      <c r="E37" s="82">
        <f>+J32</f>
        <v>8.1000000000000003E-2</v>
      </c>
    </row>
    <row r="38" spans="4:8" ht="14.25" hidden="1" customHeight="1" x14ac:dyDescent="0.2">
      <c r="D38" s="59" t="s">
        <v>50</v>
      </c>
      <c r="E38" s="82">
        <f>+K32</f>
        <v>3.9E-2</v>
      </c>
    </row>
    <row r="39" spans="4:8" ht="14.25" hidden="1" customHeight="1" x14ac:dyDescent="0.2">
      <c r="D39" s="59" t="s">
        <v>51</v>
      </c>
      <c r="E39" s="82">
        <f>+L32</f>
        <v>0.12</v>
      </c>
    </row>
    <row r="40" spans="4:8" ht="14.25" hidden="1" customHeight="1" x14ac:dyDescent="0.2">
      <c r="D40" s="59" t="s">
        <v>52</v>
      </c>
      <c r="E40" s="82">
        <f>+M32</f>
        <v>5.5E-2</v>
      </c>
    </row>
    <row r="41" spans="4:8" ht="14.25" hidden="1" customHeight="1" x14ac:dyDescent="0.2"/>
    <row r="42" spans="4:8" ht="14.25" hidden="1" customHeight="1" x14ac:dyDescent="0.2"/>
    <row r="43" spans="4:8" ht="14.25" hidden="1" customHeight="1" x14ac:dyDescent="0.2">
      <c r="E43" s="84"/>
    </row>
    <row r="44" spans="4:8" ht="14.25" customHeight="1" x14ac:dyDescent="0.2">
      <c r="D44" s="108" t="s">
        <v>73</v>
      </c>
      <c r="E44" s="84"/>
    </row>
    <row r="45" spans="4:8" ht="14.25" customHeight="1" x14ac:dyDescent="0.2">
      <c r="D45" s="165" t="s">
        <v>79</v>
      </c>
      <c r="E45" s="166"/>
      <c r="F45" s="167"/>
    </row>
    <row r="46" spans="4:8" ht="14.25" customHeight="1" x14ac:dyDescent="0.25">
      <c r="D46" s="97" t="s">
        <v>67</v>
      </c>
      <c r="E46" s="98"/>
      <c r="F46" s="104">
        <f>950000*8*12</f>
        <v>91200000</v>
      </c>
    </row>
    <row r="47" spans="4:8" ht="14.25" customHeight="1" x14ac:dyDescent="0.25">
      <c r="D47" s="99" t="s">
        <v>68</v>
      </c>
      <c r="E47" s="100"/>
      <c r="F47" s="105">
        <f>+F46*12%</f>
        <v>10944000</v>
      </c>
      <c r="H47" s="59" t="s">
        <v>61</v>
      </c>
    </row>
    <row r="48" spans="4:8" ht="9.75" customHeight="1" x14ac:dyDescent="0.25">
      <c r="D48" s="96"/>
      <c r="E48" s="96"/>
      <c r="F48" s="96"/>
      <c r="H48" s="86" t="s">
        <v>62</v>
      </c>
    </row>
    <row r="49" spans="4:6" ht="14.25" customHeight="1" x14ac:dyDescent="0.25">
      <c r="D49" s="97" t="s">
        <v>69</v>
      </c>
      <c r="E49" s="101"/>
      <c r="F49" s="106">
        <v>800000000</v>
      </c>
    </row>
    <row r="50" spans="4:6" ht="14.25" customHeight="1" x14ac:dyDescent="0.25">
      <c r="D50" s="97" t="s">
        <v>71</v>
      </c>
      <c r="E50" s="101"/>
      <c r="F50" s="105">
        <f>+F49*0.5/100</f>
        <v>4000000</v>
      </c>
    </row>
    <row r="51" spans="4:6" ht="14.25" customHeight="1" x14ac:dyDescent="0.25">
      <c r="D51" s="96"/>
      <c r="E51" s="96"/>
      <c r="F51" s="96"/>
    </row>
  </sheetData>
  <sheetProtection algorithmName="SHA-512" hashValue="8kgdMkMfu5Ef083Wp5i9eT2cIvM7SAysB70ntWCAr2JMyy+LizNj+hHQJjUrdAInWEysJGGKKFr5lNWRsmQVew==" saltValue="zgBNcD2E91bwMr5NY0ZF9w==" spinCount="100000" sheet="1" objects="1" scenarios="1" formatCells="0" formatColumns="0" formatRows="0" insertHyperlinks="0" sort="0" autoFilter="0"/>
  <mergeCells count="13">
    <mergeCell ref="D45:F45"/>
    <mergeCell ref="E2:I5"/>
    <mergeCell ref="D19:I23"/>
    <mergeCell ref="O14:P14"/>
    <mergeCell ref="K26:K27"/>
    <mergeCell ref="L26:L27"/>
    <mergeCell ref="M26:M27"/>
    <mergeCell ref="B26:E26"/>
    <mergeCell ref="F26:F27"/>
    <mergeCell ref="G26:G27"/>
    <mergeCell ref="H26:H27"/>
    <mergeCell ref="I26:I27"/>
    <mergeCell ref="J26:J27"/>
  </mergeCells>
  <conditionalFormatting sqref="O14:P14">
    <cfRule type="cellIs" dxfId="0" priority="1" operator="equal">
      <formula>"""No es conveniente"""</formula>
    </cfRule>
  </conditionalFormatting>
  <dataValidations count="6">
    <dataValidation allowBlank="1" showInputMessage="1" showErrorMessage="1" prompt="Digite la tarifa expresada en miles, ejemplo  si la tarifa es 8 por mil, digite 8" sqref="H10" xr:uid="{00000000-0002-0000-0600-000000000000}"/>
    <dataValidation allowBlank="1" showInputMessage="1" showErrorMessage="1" prompt="Digite el valor de la UVT del año que vaya a trabajar" sqref="E14" xr:uid="{00000000-0002-0000-0600-000001000000}"/>
    <dataValidation allowBlank="1" showInputMessage="1" showErrorMessage="1" prompt="Opcionalmente digite directamente el valor de la renta líquida gravable de la declaración de renta que está tomando como base de análisis, o de lo contrario digite arriba el ingreso anual y el % de margen fiscal que en promedio maneja." sqref="E12" xr:uid="{00000000-0002-0000-0600-000002000000}"/>
    <dataValidation allowBlank="1" showInputMessage="1" showErrorMessage="1" prompt="Digite el valor del descuento tributario correspondiente o diligencie el anexo en la parte inferior DESCUENTOS TRIBUTARIOS para que le traiga el valor automáticamente  a esta celda." sqref="I15:I16" xr:uid="{2FD1A799-4AC4-41C0-9515-FDB892AC4EFE}"/>
    <dataValidation allowBlank="1" showInputMessage="1" showErrorMessage="1" prompt="Si el analisis lo va a realizar trabajando con un % de marge fiscal promedio, digite en esta celda el ingreso neto anual (Ingreso - ingresos no constitutivos de renta) (no digite ganancias ocasionales.)" sqref="E10" xr:uid="{74EE73D2-23BE-4249-8624-C79574EA6C42}"/>
    <dataValidation allowBlank="1" showInputMessage="1" showErrorMessage="1" prompt="Si el analisis lo va a realizar trabajando con un % de marge fiscal promedio, entonces digite este % promedio que maneja históricamente. De lo contrario deje en blanco y en la celda siguiente digite la renta líquida fiscal con la que realizará el cálculo." sqref="E11" xr:uid="{B02E984C-06BE-4A28-985B-448C162E7F83}"/>
  </dataValidations>
  <hyperlinks>
    <hyperlink ref="H48" r:id="rId1" xr:uid="{00000000-0004-0000-0600-000000000000}"/>
  </hyperlinks>
  <pageMargins left="0.7" right="0.7" top="0.75" bottom="0.75" header="0.3" footer="0.3"/>
  <pageSetup orientation="landscape" r:id="rId2"/>
  <drawing r:id="rId3"/>
  <legacyDrawing r:id="rId4"/>
  <controls>
    <mc:AlternateContent xmlns:mc="http://schemas.openxmlformats.org/markup-compatibility/2006">
      <mc:Choice Requires="x14">
        <control shapeId="7175" r:id="rId5" name="CommandButton1">
          <controlPr defaultSize="0" autoLine="0" autoPict="0" r:id="rId6">
            <anchor moveWithCells="1">
              <from>
                <xdr:col>5</xdr:col>
                <xdr:colOff>38100</xdr:colOff>
                <xdr:row>8</xdr:row>
                <xdr:rowOff>139700</xdr:rowOff>
              </from>
              <to>
                <xdr:col>5</xdr:col>
                <xdr:colOff>800100</xdr:colOff>
                <xdr:row>11</xdr:row>
                <xdr:rowOff>38100</xdr:rowOff>
              </to>
            </anchor>
          </controlPr>
        </control>
      </mc:Choice>
      <mc:Fallback>
        <control shapeId="7175" r:id="rId5" name="CommandButton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cione de la lista la categoría de actividades para establecer la tabla de tarifas" xr:uid="{00000000-0002-0000-0600-000003000000}">
          <x14:formula1>
            <xm:f>'Grupo de actividades'!$D$37:$D$40</xm:f>
          </x14:formula1>
          <xm:sqref>E9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rgb="FF00B050"/>
  </sheetPr>
  <dimension ref="A1:I40"/>
  <sheetViews>
    <sheetView topLeftCell="C1" zoomScale="115" zoomScaleNormal="115" workbookViewId="0">
      <pane ySplit="6" topLeftCell="A7" activePane="bottomLeft" state="frozen"/>
      <selection activeCell="K21" sqref="K21"/>
      <selection pane="bottomLeft" activeCell="D26" sqref="D26:I31"/>
    </sheetView>
  </sheetViews>
  <sheetFormatPr baseColWidth="10" defaultColWidth="12" defaultRowHeight="14" x14ac:dyDescent="0.3"/>
  <cols>
    <col min="1" max="1" width="0.77734375" style="58" hidden="1" customWidth="1"/>
    <col min="2" max="2" width="2" style="58" hidden="1" customWidth="1"/>
    <col min="3" max="3" width="2" style="58" customWidth="1"/>
    <col min="4" max="4" width="19.77734375" style="58" customWidth="1"/>
    <col min="5" max="5" width="13.77734375" style="58" customWidth="1"/>
    <col min="6" max="7" width="21.33203125" style="58" customWidth="1"/>
    <col min="8" max="8" width="16.6640625" style="58" customWidth="1"/>
    <col min="9" max="9" width="15.6640625" style="58" customWidth="1"/>
    <col min="10" max="10" width="16" style="58" customWidth="1"/>
    <col min="11" max="11" width="12" style="58"/>
    <col min="12" max="12" width="19.6640625" style="58" bestFit="1" customWidth="1"/>
    <col min="13" max="16384" width="12" style="58"/>
  </cols>
  <sheetData>
    <row r="1" spans="1:9" ht="7.5" customHeight="1" x14ac:dyDescent="0.3"/>
    <row r="2" spans="1:9" ht="7.5" customHeight="1" x14ac:dyDescent="0.3">
      <c r="A2" s="67"/>
      <c r="B2" s="67"/>
      <c r="C2" s="67"/>
      <c r="D2" s="67"/>
      <c r="E2" s="67"/>
      <c r="F2" s="67"/>
      <c r="G2" s="67"/>
      <c r="H2" s="67"/>
      <c r="I2" s="67"/>
    </row>
    <row r="3" spans="1:9" ht="7.5" customHeight="1" x14ac:dyDescent="0.3">
      <c r="A3" s="67"/>
      <c r="B3" s="67"/>
      <c r="C3" s="67"/>
      <c r="D3" s="67"/>
      <c r="E3" s="67"/>
      <c r="F3" s="67"/>
      <c r="G3" s="67"/>
      <c r="H3" s="67"/>
      <c r="I3" s="67"/>
    </row>
    <row r="4" spans="1:9" ht="7.5" customHeight="1" x14ac:dyDescent="0.3">
      <c r="A4" s="67"/>
      <c r="B4" s="67"/>
      <c r="C4" s="67"/>
      <c r="D4" s="67"/>
      <c r="E4" s="67"/>
      <c r="F4" s="67"/>
      <c r="G4" s="67"/>
      <c r="H4" s="67"/>
      <c r="I4" s="67"/>
    </row>
    <row r="5" spans="1:9" x14ac:dyDescent="0.3">
      <c r="A5" s="67"/>
      <c r="B5" s="67"/>
      <c r="C5" s="67"/>
      <c r="D5" s="67"/>
      <c r="E5" s="67"/>
      <c r="F5" s="67"/>
      <c r="G5" s="68" t="s">
        <v>2</v>
      </c>
      <c r="H5" s="67"/>
      <c r="I5" s="67"/>
    </row>
    <row r="6" spans="1:9" x14ac:dyDescent="0.3">
      <c r="A6" s="67"/>
      <c r="B6" s="67"/>
      <c r="C6" s="67"/>
      <c r="D6" s="67"/>
      <c r="E6" s="67"/>
      <c r="F6" s="67"/>
      <c r="G6" s="68" t="s">
        <v>54</v>
      </c>
      <c r="H6" s="67"/>
      <c r="I6" s="67"/>
    </row>
    <row r="7" spans="1:9" ht="6.75" customHeight="1" x14ac:dyDescent="0.3"/>
    <row r="8" spans="1:9" hidden="1" x14ac:dyDescent="0.3"/>
    <row r="9" spans="1:9" hidden="1" x14ac:dyDescent="0.3"/>
    <row r="10" spans="1:9" ht="15" customHeight="1" x14ac:dyDescent="0.3">
      <c r="D10" s="162" t="s">
        <v>27</v>
      </c>
      <c r="E10" s="163"/>
      <c r="F10" s="163"/>
      <c r="G10" s="163"/>
      <c r="H10" s="163"/>
      <c r="I10" s="164"/>
    </row>
    <row r="12" spans="1:9" x14ac:dyDescent="0.3">
      <c r="D12" s="153" t="s">
        <v>32</v>
      </c>
      <c r="E12" s="154"/>
      <c r="F12" s="154"/>
      <c r="G12" s="154"/>
      <c r="H12" s="154"/>
      <c r="I12" s="155"/>
    </row>
    <row r="13" spans="1:9" x14ac:dyDescent="0.3">
      <c r="D13" s="156"/>
      <c r="E13" s="157"/>
      <c r="F13" s="157"/>
      <c r="G13" s="157"/>
      <c r="H13" s="157"/>
      <c r="I13" s="158"/>
    </row>
    <row r="14" spans="1:9" x14ac:dyDescent="0.3">
      <c r="D14" s="156"/>
      <c r="E14" s="157"/>
      <c r="F14" s="157"/>
      <c r="G14" s="157"/>
      <c r="H14" s="157"/>
      <c r="I14" s="158"/>
    </row>
    <row r="15" spans="1:9" hidden="1" x14ac:dyDescent="0.3">
      <c r="D15" s="156"/>
      <c r="E15" s="157"/>
      <c r="F15" s="157"/>
      <c r="G15" s="157"/>
      <c r="H15" s="157"/>
      <c r="I15" s="158"/>
    </row>
    <row r="16" spans="1:9" ht="9.75" customHeight="1" x14ac:dyDescent="0.3">
      <c r="D16" s="156"/>
      <c r="E16" s="157"/>
      <c r="F16" s="157"/>
      <c r="G16" s="157"/>
      <c r="H16" s="157"/>
      <c r="I16" s="158"/>
    </row>
    <row r="17" spans="4:9" x14ac:dyDescent="0.3">
      <c r="D17" s="159"/>
      <c r="E17" s="160"/>
      <c r="F17" s="160"/>
      <c r="G17" s="160"/>
      <c r="H17" s="160"/>
      <c r="I17" s="161"/>
    </row>
    <row r="19" spans="4:9" x14ac:dyDescent="0.3">
      <c r="D19" s="153" t="s">
        <v>33</v>
      </c>
      <c r="E19" s="154"/>
      <c r="F19" s="154"/>
      <c r="G19" s="154"/>
      <c r="H19" s="154"/>
      <c r="I19" s="155"/>
    </row>
    <row r="20" spans="4:9" x14ac:dyDescent="0.3">
      <c r="D20" s="156"/>
      <c r="E20" s="157"/>
      <c r="F20" s="157"/>
      <c r="G20" s="157"/>
      <c r="H20" s="157"/>
      <c r="I20" s="158"/>
    </row>
    <row r="21" spans="4:9" x14ac:dyDescent="0.3">
      <c r="D21" s="156"/>
      <c r="E21" s="157"/>
      <c r="F21" s="157"/>
      <c r="G21" s="157"/>
      <c r="H21" s="157"/>
      <c r="I21" s="158"/>
    </row>
    <row r="22" spans="4:9" ht="4.5" customHeight="1" x14ac:dyDescent="0.3">
      <c r="D22" s="156"/>
      <c r="E22" s="157"/>
      <c r="F22" s="157"/>
      <c r="G22" s="157"/>
      <c r="H22" s="157"/>
      <c r="I22" s="158"/>
    </row>
    <row r="23" spans="4:9" hidden="1" x14ac:dyDescent="0.3">
      <c r="D23" s="156"/>
      <c r="E23" s="157"/>
      <c r="F23" s="157"/>
      <c r="G23" s="157"/>
      <c r="H23" s="157"/>
      <c r="I23" s="158"/>
    </row>
    <row r="24" spans="4:9" ht="2.25" customHeight="1" x14ac:dyDescent="0.3">
      <c r="D24" s="159"/>
      <c r="E24" s="160"/>
      <c r="F24" s="160"/>
      <c r="G24" s="160"/>
      <c r="H24" s="160"/>
      <c r="I24" s="161"/>
    </row>
    <row r="26" spans="4:9" x14ac:dyDescent="0.3">
      <c r="D26" s="153" t="s">
        <v>34</v>
      </c>
      <c r="E26" s="154"/>
      <c r="F26" s="154"/>
      <c r="G26" s="154"/>
      <c r="H26" s="154"/>
      <c r="I26" s="155"/>
    </row>
    <row r="27" spans="4:9" ht="3.75" customHeight="1" x14ac:dyDescent="0.3">
      <c r="D27" s="156"/>
      <c r="E27" s="157"/>
      <c r="F27" s="157"/>
      <c r="G27" s="157"/>
      <c r="H27" s="157"/>
      <c r="I27" s="158"/>
    </row>
    <row r="28" spans="4:9" hidden="1" x14ac:dyDescent="0.3">
      <c r="D28" s="156"/>
      <c r="E28" s="157"/>
      <c r="F28" s="157"/>
      <c r="G28" s="157"/>
      <c r="H28" s="157"/>
      <c r="I28" s="158"/>
    </row>
    <row r="29" spans="4:9" hidden="1" x14ac:dyDescent="0.3">
      <c r="D29" s="156"/>
      <c r="E29" s="157"/>
      <c r="F29" s="157"/>
      <c r="G29" s="157"/>
      <c r="H29" s="157"/>
      <c r="I29" s="158"/>
    </row>
    <row r="30" spans="4:9" hidden="1" x14ac:dyDescent="0.3">
      <c r="D30" s="156"/>
      <c r="E30" s="157"/>
      <c r="F30" s="157"/>
      <c r="G30" s="157"/>
      <c r="H30" s="157"/>
      <c r="I30" s="158"/>
    </row>
    <row r="31" spans="4:9" ht="9" customHeight="1" x14ac:dyDescent="0.3">
      <c r="D31" s="159"/>
      <c r="E31" s="160"/>
      <c r="F31" s="160"/>
      <c r="G31" s="160"/>
      <c r="H31" s="160"/>
      <c r="I31" s="161"/>
    </row>
    <row r="36" spans="4:9" ht="12" customHeight="1" x14ac:dyDescent="0.3"/>
    <row r="37" spans="4:9" hidden="1" x14ac:dyDescent="0.3">
      <c r="D37" s="72" t="s">
        <v>49</v>
      </c>
      <c r="E37" s="73" t="s">
        <v>27</v>
      </c>
      <c r="F37" s="71"/>
      <c r="G37" s="71"/>
      <c r="H37" s="71"/>
      <c r="I37" s="71"/>
    </row>
    <row r="38" spans="4:9" hidden="1" x14ac:dyDescent="0.3">
      <c r="D38" s="72" t="s">
        <v>50</v>
      </c>
      <c r="E38" s="73" t="s">
        <v>32</v>
      </c>
      <c r="F38" s="71"/>
      <c r="G38" s="71"/>
      <c r="H38" s="71"/>
      <c r="I38" s="71"/>
    </row>
    <row r="39" spans="4:9" hidden="1" x14ac:dyDescent="0.3">
      <c r="D39" s="72" t="s">
        <v>51</v>
      </c>
      <c r="E39" s="73" t="s">
        <v>57</v>
      </c>
      <c r="F39" s="71"/>
      <c r="G39" s="71"/>
      <c r="H39" s="71"/>
      <c r="I39" s="71"/>
    </row>
    <row r="40" spans="4:9" hidden="1" x14ac:dyDescent="0.3">
      <c r="D40" s="72" t="s">
        <v>52</v>
      </c>
      <c r="E40" s="73" t="s">
        <v>34</v>
      </c>
      <c r="F40" s="71"/>
      <c r="G40" s="71"/>
      <c r="H40" s="71"/>
      <c r="I40" s="71"/>
    </row>
  </sheetData>
  <mergeCells count="4">
    <mergeCell ref="D19:I24"/>
    <mergeCell ref="D26:I31"/>
    <mergeCell ref="D10:I10"/>
    <mergeCell ref="D12:I17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TARIFAS IMPUESTO</vt:lpstr>
      <vt:lpstr>Consolidado Impuesto</vt:lpstr>
      <vt:lpstr>TARIFAS ANTICIPO</vt:lpstr>
      <vt:lpstr>Consolidado anticipo</vt:lpstr>
      <vt:lpstr>TARIFAS ICA</vt:lpstr>
      <vt:lpstr>TARIFAS IMPUESTO (2)</vt:lpstr>
      <vt:lpstr>Simulador</vt:lpstr>
      <vt:lpstr>Grupo de actividades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</dc:creator>
  <cp:lastModifiedBy>William Dussan</cp:lastModifiedBy>
  <cp:lastPrinted>2021-02-11T20:06:03Z</cp:lastPrinted>
  <dcterms:created xsi:type="dcterms:W3CDTF">2018-11-28T13:03:28Z</dcterms:created>
  <dcterms:modified xsi:type="dcterms:W3CDTF">2021-10-19T14:46:53Z</dcterms:modified>
</cp:coreProperties>
</file>