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65" tabRatio="324" activeTab="0"/>
  </bookViews>
  <sheets>
    <sheet name="MENU" sheetId="1" r:id="rId1"/>
    <sheet name="Tasas" sheetId="2" r:id="rId2"/>
    <sheet name="Calculo" sheetId="3" r:id="rId3"/>
  </sheets>
  <definedNames/>
  <calcPr fullCalcOnLoad="1"/>
</workbook>
</file>

<file path=xl/sharedStrings.xml><?xml version="1.0" encoding="utf-8"?>
<sst xmlns="http://schemas.openxmlformats.org/spreadsheetml/2006/main" count="53" uniqueCount="49">
  <si>
    <t>% ANUAL</t>
  </si>
  <si>
    <t>DESDE</t>
  </si>
  <si>
    <t>HASTA</t>
  </si>
  <si>
    <t>VENCIMIENTO LEGAL</t>
  </si>
  <si>
    <t>FECHA DE PAGO</t>
  </si>
  <si>
    <t>La Superintendencia financiera por medio de la  circular 1715 de septiembre 29 de 2006 definió que la tasa de usura (Tasa que se utilizará para calcular los intereses moratorios según lo dispuso la ley 1066 de julio 29/06) cambiaría de estarse fijando para periodos mensuales y pasaría a fijarse por periodos trimestrales.</t>
  </si>
  <si>
    <t>INFORMACION GENERAL</t>
  </si>
  <si>
    <t>INFORMACION</t>
  </si>
  <si>
    <t>DIAS</t>
  </si>
  <si>
    <t>INTERESES</t>
  </si>
  <si>
    <t>INTERES</t>
  </si>
  <si>
    <t>NUEVO SALDO</t>
  </si>
  <si>
    <t>DIAS ACUMULADOS</t>
  </si>
  <si>
    <t>3. Revise la liquidación</t>
  </si>
  <si>
    <t>4. Imprima la liquidación</t>
  </si>
  <si>
    <t>DATOS DE CALCULO</t>
  </si>
  <si>
    <t>DATOS  INFORMATIVOS</t>
  </si>
  <si>
    <t>TOTAL</t>
  </si>
  <si>
    <t>IMPUESTOS</t>
  </si>
  <si>
    <t>Link para consultar las tasas trimestrales</t>
  </si>
  <si>
    <t>1. Digite la  información General</t>
  </si>
  <si>
    <t>% TRIMESTRAL</t>
  </si>
  <si>
    <t>PASOS A SEGUIR</t>
  </si>
  <si>
    <t>TOTAL IMPUESTO</t>
  </si>
  <si>
    <t>TOTAL INTERESES</t>
  </si>
  <si>
    <t>TOTAL A PAGAR</t>
  </si>
  <si>
    <t xml:space="preserve">RESUMEN </t>
  </si>
  <si>
    <t>SANCIONES (DIGITABLE)</t>
  </si>
  <si>
    <t>T. DIARIA</t>
  </si>
  <si>
    <t>LIQUIDADOR DE INTERESES MORATORIOS</t>
  </si>
  <si>
    <t>TABLA DE TASAS</t>
  </si>
  <si>
    <t>Empresa</t>
  </si>
  <si>
    <t>Tipo de impuesto</t>
  </si>
  <si>
    <t>Periodo gravable</t>
  </si>
  <si>
    <t>Vencimiento legal</t>
  </si>
  <si>
    <t>Fecha de realización del pago</t>
  </si>
  <si>
    <t>2. Actualice las tasas de Interés</t>
  </si>
  <si>
    <t>Valor base del interés</t>
  </si>
  <si>
    <t>RENTA</t>
  </si>
  <si>
    <t>EMPRESA DE EJEMPLO</t>
  </si>
  <si>
    <t>2018</t>
  </si>
  <si>
    <t>Consultar tasas</t>
  </si>
  <si>
    <t>Beneficio</t>
  </si>
  <si>
    <t>Tasa</t>
  </si>
  <si>
    <t>Bajo el principio de favorabilidad</t>
  </si>
  <si>
    <t>NUEVO</t>
  </si>
  <si>
    <t>Interés a pagar método tradicional</t>
  </si>
  <si>
    <t>Principio favorabilidad</t>
  </si>
  <si>
    <t>Cálculo tradicional</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</si>
</sst>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C0A]d\-mmm\-yy;@"/>
    <numFmt numFmtId="195" formatCode="0.00000%"/>
    <numFmt numFmtId="196" formatCode="0.000000%"/>
    <numFmt numFmtId="197" formatCode="0.0"/>
    <numFmt numFmtId="198" formatCode="0.000"/>
    <numFmt numFmtId="199" formatCode="0.0000"/>
    <numFmt numFmtId="200" formatCode="0.00000"/>
    <numFmt numFmtId="201" formatCode="0.000000"/>
    <numFmt numFmtId="202" formatCode="0.0000000"/>
    <numFmt numFmtId="203" formatCode="0.00000000"/>
    <numFmt numFmtId="204" formatCode="0.000000000"/>
    <numFmt numFmtId="205" formatCode="0.0000000000"/>
    <numFmt numFmtId="206" formatCode="_ * #,##0_ ;_ * \-#,##0_ ;_ * &quot;-&quot;??_ ;_ @_ "/>
    <numFmt numFmtId="207" formatCode="_-* #,##0.0\ _€_-;\-* #,##0.0\ _€_-;_-* &quot;-&quot;??\ _€_-;_-@_-"/>
    <numFmt numFmtId="208" formatCode="_-* #,##0.000\ _€_-;\-* #,##0.000\ _€_-;_-* &quot;-&quot;??\ _€_-;_-@_-"/>
    <numFmt numFmtId="209" formatCode="_-* #,##0.0000\ _€_-;\-* #,##0.0000\ _€_-;_-* &quot;-&quot;??\ _€_-;_-@_-"/>
    <numFmt numFmtId="210" formatCode="0.0%"/>
    <numFmt numFmtId="211" formatCode="0.000%"/>
    <numFmt numFmtId="212" formatCode="0.0000%"/>
    <numFmt numFmtId="213" formatCode="0.0000000%"/>
    <numFmt numFmtId="214" formatCode="_-* #,##0\ _€_-;\-* #,##0\ _€_-;_-* &quot;-&quot;??\ _€_-;_-@_-"/>
    <numFmt numFmtId="215" formatCode="[$-240A]hh:mm:ss\ AM/PM"/>
    <numFmt numFmtId="216" formatCode="[$-240A]dddd\,\ dd&quot; de &quot;mmmm&quot; de &quot;yyyy"/>
    <numFmt numFmtId="217" formatCode="dd/mm/yy;@"/>
    <numFmt numFmtId="218" formatCode="dd\-mmm\-yyyy"/>
    <numFmt numFmtId="219" formatCode="_-* #,##0.0\ _€_-;\-* #,##0.0\ _€_-;_-* &quot;-&quot;\ _€_-;_-@_-"/>
    <numFmt numFmtId="220" formatCode="_-* #,##0.00\ _€_-;\-* #,##0.00\ _€_-;_-* &quot;-&quot;\ _€_-;_-@_-"/>
  </numFmts>
  <fonts count="67">
    <font>
      <sz val="10"/>
      <name val="Arial"/>
      <family val="0"/>
    </font>
    <font>
      <sz val="8"/>
      <name val="Arial"/>
      <family val="2"/>
    </font>
    <font>
      <b/>
      <sz val="10"/>
      <color indexed="9"/>
      <name val="Arial"/>
      <family val="2"/>
    </font>
    <font>
      <sz val="10"/>
      <color indexed="8"/>
      <name val="Arial"/>
      <family val="2"/>
    </font>
    <font>
      <u val="single"/>
      <sz val="10"/>
      <color indexed="12"/>
      <name val="Arial"/>
      <family val="2"/>
    </font>
    <font>
      <u val="single"/>
      <sz val="10"/>
      <color indexed="36"/>
      <name val="Arial"/>
      <family val="2"/>
    </font>
    <font>
      <b/>
      <i/>
      <sz val="10"/>
      <name val="Arial"/>
      <family val="2"/>
    </font>
    <font>
      <sz val="10"/>
      <color indexed="9"/>
      <name val="Arial"/>
      <family val="2"/>
    </font>
    <font>
      <b/>
      <sz val="9"/>
      <color indexed="10"/>
      <name val="Arial"/>
      <family val="2"/>
    </font>
    <font>
      <b/>
      <sz val="10"/>
      <color indexed="8"/>
      <name val="Arial"/>
      <family val="2"/>
    </font>
    <font>
      <b/>
      <sz val="10"/>
      <color indexed="10"/>
      <name val="Arial"/>
      <family val="2"/>
    </font>
    <font>
      <sz val="10"/>
      <name val="Verdana"/>
      <family val="2"/>
    </font>
    <font>
      <b/>
      <sz val="14"/>
      <name val="Arial"/>
      <family val="2"/>
    </font>
    <font>
      <sz val="10"/>
      <color indexed="53"/>
      <name val="Arial"/>
      <family val="2"/>
    </font>
    <font>
      <sz val="8"/>
      <name val="Verdana"/>
      <family val="2"/>
    </font>
    <font>
      <b/>
      <sz val="10"/>
      <name val="Arial"/>
      <family val="2"/>
    </font>
    <font>
      <sz val="16"/>
      <color indexed="9"/>
      <name val="Arial"/>
      <family val="2"/>
    </font>
    <font>
      <b/>
      <sz val="12"/>
      <color indexed="13"/>
      <name val="Arial"/>
      <family val="2"/>
    </font>
    <font>
      <u val="single"/>
      <sz val="10"/>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b/>
      <sz val="11"/>
      <color indexed="8"/>
      <name val="Arial"/>
      <family val="2"/>
    </font>
    <font>
      <sz val="9"/>
      <color indexed="8"/>
      <name val="Arial"/>
      <family val="2"/>
    </font>
    <font>
      <b/>
      <sz val="8"/>
      <color indexed="8"/>
      <name val="Arial"/>
      <family val="2"/>
    </font>
    <font>
      <sz val="10"/>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sz val="10"/>
      <color theme="0"/>
      <name val="Arial"/>
      <family val="2"/>
    </font>
    <font>
      <sz val="10"/>
      <color theme="1"/>
      <name val="Arial"/>
      <family val="2"/>
    </font>
    <font>
      <b/>
      <sz val="10"/>
      <color theme="1"/>
      <name val="Arial"/>
      <family val="2"/>
    </font>
    <font>
      <b/>
      <sz val="11"/>
      <color theme="1"/>
      <name val="Arial"/>
      <family val="2"/>
    </font>
    <font>
      <sz val="9"/>
      <color theme="1"/>
      <name val="Arial"/>
      <family val="2"/>
    </font>
    <font>
      <b/>
      <sz val="8"/>
      <color theme="1"/>
      <name val="Arial"/>
      <family val="2"/>
    </font>
    <font>
      <sz val="10"/>
      <color rgb="FF0070C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8"/>
        <bgColor indexed="64"/>
      </patternFill>
    </fill>
    <fill>
      <patternFill patternType="solid">
        <fgColor indexed="56"/>
        <bgColor indexed="64"/>
      </patternFill>
    </fill>
    <fill>
      <patternFill patternType="solid">
        <fgColor indexed="21"/>
        <bgColor indexed="64"/>
      </patternFill>
    </fill>
    <fill>
      <patternFill patternType="solid">
        <fgColor indexed="44"/>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indexed="8"/>
        <bgColor indexed="64"/>
      </patternFill>
    </fill>
    <fill>
      <patternFill patternType="solid">
        <fgColor theme="3" tint="0.3999800086021423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thin"/>
      <bottom style="thin"/>
    </border>
    <border>
      <left style="medium"/>
      <right>
        <color indexed="63"/>
      </right>
      <top style="medium"/>
      <bottom style="mediu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color indexed="23"/>
      </left>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color indexed="23"/>
      </right>
      <top style="thin">
        <color indexed="23"/>
      </top>
      <bottom style="thin">
        <color indexed="23"/>
      </bottom>
    </border>
    <border>
      <left style="medium"/>
      <right style="medium"/>
      <top style="medium"/>
      <bottom style="thin"/>
    </border>
    <border>
      <left style="thin"/>
      <right style="thin"/>
      <top style="thin"/>
      <bottom style="thin"/>
    </border>
    <border>
      <left style="thin">
        <color indexed="23"/>
      </left>
      <right style="thin">
        <color indexed="23"/>
      </right>
      <top style="medium"/>
      <bottom style="medium"/>
    </border>
    <border>
      <left style="thin">
        <color indexed="23"/>
      </left>
      <right style="medium"/>
      <top style="medium"/>
      <bottom style="medium"/>
    </border>
    <border>
      <left>
        <color indexed="63"/>
      </left>
      <right style="thin">
        <color indexed="23"/>
      </right>
      <top style="thin">
        <color indexed="23"/>
      </top>
      <bottom style="medium">
        <color indexed="23"/>
      </bottom>
    </border>
    <border>
      <left style="thin">
        <color indexed="23"/>
      </left>
      <right style="medium">
        <color indexed="23"/>
      </right>
      <top style="thin">
        <color indexed="23"/>
      </top>
      <bottom style="medium">
        <color indexed="2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color indexed="63"/>
      </left>
      <right>
        <color indexed="63"/>
      </right>
      <top>
        <color indexed="63"/>
      </top>
      <bottom style="medium">
        <color indexed="23"/>
      </bottom>
    </border>
    <border>
      <left style="thin">
        <color indexed="23"/>
      </left>
      <right style="medium">
        <color indexed="23"/>
      </right>
      <top style="medium">
        <color indexed="23"/>
      </top>
      <bottom style="thin">
        <color indexed="23"/>
      </bottom>
    </border>
    <border>
      <left style="medium"/>
      <right style="thin">
        <color indexed="2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1"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144">
    <xf numFmtId="0" fontId="0" fillId="0" borderId="0" xfId="0" applyAlignment="1">
      <alignment/>
    </xf>
    <xf numFmtId="10" fontId="3" fillId="33" borderId="0" xfId="55" applyNumberFormat="1" applyFont="1" applyFill="1" applyBorder="1" applyAlignment="1" applyProtection="1">
      <alignment/>
      <protection locked="0"/>
    </xf>
    <xf numFmtId="194" fontId="3" fillId="33" borderId="0" xfId="0" applyNumberFormat="1" applyFont="1" applyFill="1" applyBorder="1" applyAlignment="1" applyProtection="1">
      <alignment/>
      <protection locked="0"/>
    </xf>
    <xf numFmtId="0" fontId="0" fillId="0" borderId="0" xfId="0" applyFont="1" applyFill="1" applyAlignment="1" applyProtection="1">
      <alignment horizontal="center" wrapText="1"/>
      <protection hidden="1"/>
    </xf>
    <xf numFmtId="0" fontId="0" fillId="0" borderId="0" xfId="0" applyFont="1" applyFill="1" applyAlignment="1" applyProtection="1">
      <alignment/>
      <protection hidden="1"/>
    </xf>
    <xf numFmtId="3" fontId="0" fillId="0" borderId="0" xfId="0" applyNumberFormat="1" applyFont="1" applyFill="1" applyAlignment="1" applyProtection="1">
      <alignment/>
      <protection hidden="1"/>
    </xf>
    <xf numFmtId="194" fontId="0" fillId="0" borderId="0" xfId="0" applyNumberFormat="1" applyFont="1" applyFill="1" applyAlignment="1" applyProtection="1">
      <alignment/>
      <protection hidden="1"/>
    </xf>
    <xf numFmtId="196" fontId="0" fillId="0" borderId="0" xfId="55" applyNumberFormat="1" applyFont="1" applyAlignment="1" applyProtection="1">
      <alignment/>
      <protection hidden="1"/>
    </xf>
    <xf numFmtId="194" fontId="0" fillId="0" borderId="10" xfId="0" applyNumberFormat="1" applyFont="1" applyFill="1" applyBorder="1" applyAlignment="1" applyProtection="1">
      <alignment horizontal="right"/>
      <protection locked="0"/>
    </xf>
    <xf numFmtId="0" fontId="6" fillId="0" borderId="0" xfId="0" applyFont="1" applyBorder="1" applyAlignment="1">
      <alignment horizontal="justify" vertical="top"/>
    </xf>
    <xf numFmtId="3" fontId="0" fillId="0" borderId="0" xfId="0" applyNumberFormat="1" applyFont="1" applyFill="1" applyAlignment="1" applyProtection="1">
      <alignment horizontal="center" wrapText="1"/>
      <protection hidden="1"/>
    </xf>
    <xf numFmtId="14" fontId="0" fillId="0" borderId="0" xfId="0" applyNumberFormat="1" applyAlignment="1">
      <alignment/>
    </xf>
    <xf numFmtId="0" fontId="0" fillId="0" borderId="0" xfId="0" applyBorder="1" applyAlignment="1">
      <alignment/>
    </xf>
    <xf numFmtId="0" fontId="8" fillId="0" borderId="0" xfId="0" applyFont="1" applyFill="1" applyBorder="1" applyAlignment="1">
      <alignment horizontal="center" vertical="center" wrapText="1"/>
    </xf>
    <xf numFmtId="0" fontId="2" fillId="34" borderId="11" xfId="0" applyFont="1" applyFill="1" applyBorder="1" applyAlignment="1">
      <alignment horizontal="center"/>
    </xf>
    <xf numFmtId="0" fontId="2" fillId="34" borderId="12" xfId="0" applyFont="1" applyFill="1" applyBorder="1" applyAlignment="1">
      <alignment horizontal="center"/>
    </xf>
    <xf numFmtId="0" fontId="2" fillId="35" borderId="13" xfId="0" applyFont="1" applyFill="1" applyBorder="1" applyAlignment="1">
      <alignment/>
    </xf>
    <xf numFmtId="0" fontId="2" fillId="35" borderId="14" xfId="0" applyFont="1" applyFill="1" applyBorder="1" applyAlignment="1">
      <alignment/>
    </xf>
    <xf numFmtId="0" fontId="2" fillId="35" borderId="15" xfId="0" applyFont="1" applyFill="1" applyBorder="1" applyAlignment="1">
      <alignment/>
    </xf>
    <xf numFmtId="3" fontId="2" fillId="35" borderId="16" xfId="0" applyNumberFormat="1" applyFont="1" applyFill="1" applyBorder="1" applyAlignment="1">
      <alignment horizontal="center" vertical="center" wrapText="1"/>
    </xf>
    <xf numFmtId="194" fontId="2" fillId="35" borderId="16" xfId="0" applyNumberFormat="1" applyFont="1" applyFill="1" applyBorder="1" applyAlignment="1">
      <alignment horizontal="center" vertical="center" wrapText="1"/>
    </xf>
    <xf numFmtId="0" fontId="7" fillId="35" borderId="0" xfId="0" applyFont="1" applyFill="1" applyAlignment="1" applyProtection="1">
      <alignment horizontal="center" wrapText="1"/>
      <protection hidden="1"/>
    </xf>
    <xf numFmtId="0" fontId="7" fillId="35" borderId="12" xfId="0" applyFont="1" applyFill="1" applyBorder="1" applyAlignment="1" applyProtection="1">
      <alignment horizontal="center" wrapText="1"/>
      <protection hidden="1"/>
    </xf>
    <xf numFmtId="3" fontId="2" fillId="36" borderId="11" xfId="0" applyNumberFormat="1" applyFont="1" applyFill="1" applyBorder="1" applyAlignment="1" applyProtection="1">
      <alignment horizontal="center"/>
      <protection/>
    </xf>
    <xf numFmtId="194" fontId="2" fillId="36" borderId="12" xfId="0" applyNumberFormat="1" applyFont="1" applyFill="1" applyBorder="1" applyAlignment="1" applyProtection="1">
      <alignment horizontal="center"/>
      <protection/>
    </xf>
    <xf numFmtId="3" fontId="2" fillId="36" borderId="17" xfId="0" applyNumberFormat="1" applyFont="1" applyFill="1" applyBorder="1" applyAlignment="1" applyProtection="1">
      <alignment horizontal="center"/>
      <protection hidden="1"/>
    </xf>
    <xf numFmtId="194" fontId="2" fillId="36" borderId="17" xfId="0" applyNumberFormat="1" applyFont="1" applyFill="1" applyBorder="1" applyAlignment="1" applyProtection="1">
      <alignment horizontal="center"/>
      <protection/>
    </xf>
    <xf numFmtId="3" fontId="2" fillId="36" borderId="12" xfId="0" applyNumberFormat="1" applyFont="1" applyFill="1" applyBorder="1" applyAlignment="1" applyProtection="1">
      <alignment horizontal="center"/>
      <protection/>
    </xf>
    <xf numFmtId="3" fontId="2" fillId="36" borderId="18" xfId="0" applyNumberFormat="1" applyFont="1" applyFill="1" applyBorder="1" applyAlignment="1" applyProtection="1">
      <alignment horizontal="center"/>
      <protection hidden="1"/>
    </xf>
    <xf numFmtId="3" fontId="11" fillId="0" borderId="0" xfId="0" applyNumberFormat="1" applyFont="1" applyFill="1" applyBorder="1" applyAlignment="1" applyProtection="1">
      <alignment/>
      <protection/>
    </xf>
    <xf numFmtId="194" fontId="11" fillId="0" borderId="0" xfId="0" applyNumberFormat="1" applyFont="1" applyFill="1" applyBorder="1" applyAlignment="1" applyProtection="1">
      <alignment/>
      <protection/>
    </xf>
    <xf numFmtId="0" fontId="11" fillId="0" borderId="0" xfId="0" applyFont="1" applyFill="1" applyBorder="1" applyAlignment="1" applyProtection="1">
      <alignment/>
      <protection hidden="1"/>
    </xf>
    <xf numFmtId="0" fontId="11" fillId="0" borderId="0" xfId="0" applyFont="1" applyFill="1" applyAlignment="1" applyProtection="1">
      <alignment/>
      <protection hidden="1"/>
    </xf>
    <xf numFmtId="0" fontId="10" fillId="0" borderId="0" xfId="0" applyFont="1" applyFill="1" applyBorder="1" applyAlignment="1" applyProtection="1">
      <alignment horizontal="center" textRotation="255"/>
      <protection hidden="1"/>
    </xf>
    <xf numFmtId="0" fontId="2" fillId="35" borderId="12" xfId="0" applyFont="1" applyFill="1" applyBorder="1" applyAlignment="1">
      <alignment/>
    </xf>
    <xf numFmtId="3" fontId="9" fillId="37" borderId="12" xfId="0" applyNumberFormat="1" applyFont="1" applyFill="1" applyBorder="1" applyAlignment="1">
      <alignment/>
    </xf>
    <xf numFmtId="0" fontId="13" fillId="0" borderId="0" xfId="0" applyFont="1" applyAlignment="1">
      <alignment/>
    </xf>
    <xf numFmtId="0" fontId="2" fillId="38" borderId="19" xfId="0" applyFont="1" applyFill="1" applyBorder="1" applyAlignment="1" applyProtection="1">
      <alignment horizontal="center"/>
      <protection hidden="1"/>
    </xf>
    <xf numFmtId="194" fontId="2" fillId="38" borderId="20" xfId="0" applyNumberFormat="1" applyFont="1" applyFill="1" applyBorder="1" applyAlignment="1" applyProtection="1">
      <alignment horizontal="center"/>
      <protection hidden="1"/>
    </xf>
    <xf numFmtId="194" fontId="2" fillId="38" borderId="21" xfId="0" applyNumberFormat="1" applyFont="1" applyFill="1" applyBorder="1" applyAlignment="1" applyProtection="1">
      <alignment horizontal="center"/>
      <protection hidden="1"/>
    </xf>
    <xf numFmtId="0" fontId="0" fillId="0" borderId="20" xfId="0" applyFont="1" applyFill="1" applyBorder="1" applyAlignment="1" applyProtection="1">
      <alignment/>
      <protection hidden="1"/>
    </xf>
    <xf numFmtId="3" fontId="0" fillId="0" borderId="20" xfId="0" applyNumberFormat="1" applyFont="1" applyFill="1" applyBorder="1" applyAlignment="1" applyProtection="1">
      <alignment/>
      <protection hidden="1"/>
    </xf>
    <xf numFmtId="3" fontId="0" fillId="0" borderId="21" xfId="0" applyNumberFormat="1" applyFont="1" applyFill="1" applyBorder="1" applyAlignment="1" applyProtection="1">
      <alignment/>
      <protection hidden="1"/>
    </xf>
    <xf numFmtId="0" fontId="9" fillId="0" borderId="0" xfId="0" applyFont="1" applyFill="1" applyBorder="1" applyAlignment="1">
      <alignment/>
    </xf>
    <xf numFmtId="0" fontId="0" fillId="0" borderId="22" xfId="0" applyFont="1" applyBorder="1" applyAlignment="1" applyProtection="1">
      <alignment horizontal="left"/>
      <protection locked="0"/>
    </xf>
    <xf numFmtId="3" fontId="14" fillId="0" borderId="0" xfId="0" applyNumberFormat="1" applyFont="1" applyFill="1" applyBorder="1" applyAlignment="1" applyProtection="1">
      <alignment/>
      <protection/>
    </xf>
    <xf numFmtId="17" fontId="14" fillId="0" borderId="0" xfId="0" applyNumberFormat="1" applyFont="1" applyFill="1" applyBorder="1" applyAlignment="1" applyProtection="1">
      <alignment horizontal="left"/>
      <protection/>
    </xf>
    <xf numFmtId="49" fontId="14" fillId="0" borderId="0" xfId="0" applyNumberFormat="1" applyFont="1" applyFill="1" applyBorder="1" applyAlignment="1" applyProtection="1">
      <alignment horizontal="left"/>
      <protection/>
    </xf>
    <xf numFmtId="194" fontId="15" fillId="0" borderId="0" xfId="0" applyNumberFormat="1" applyFont="1" applyFill="1" applyAlignment="1" applyProtection="1">
      <alignment horizontal="center" vertical="top"/>
      <protection hidden="1"/>
    </xf>
    <xf numFmtId="0" fontId="0" fillId="0" borderId="10" xfId="0" applyFont="1" applyBorder="1" applyAlignment="1" applyProtection="1">
      <alignment horizontal="left"/>
      <protection locked="0"/>
    </xf>
    <xf numFmtId="49" fontId="0" fillId="0" borderId="10" xfId="0" applyNumberFormat="1" applyFont="1" applyBorder="1" applyAlignment="1" applyProtection="1">
      <alignment horizontal="left"/>
      <protection locked="0"/>
    </xf>
    <xf numFmtId="0" fontId="59" fillId="0" borderId="0" xfId="0" applyFont="1" applyAlignment="1">
      <alignment/>
    </xf>
    <xf numFmtId="10" fontId="59" fillId="33" borderId="0" xfId="55" applyNumberFormat="1" applyFont="1" applyFill="1" applyBorder="1" applyAlignment="1" applyProtection="1">
      <alignment/>
      <protection locked="0"/>
    </xf>
    <xf numFmtId="0" fontId="59" fillId="0" borderId="0" xfId="0" applyFont="1" applyFill="1" applyAlignment="1" applyProtection="1">
      <alignment/>
      <protection hidden="1"/>
    </xf>
    <xf numFmtId="194" fontId="59" fillId="33" borderId="0" xfId="0" applyNumberFormat="1" applyFont="1" applyFill="1" applyBorder="1" applyAlignment="1" applyProtection="1">
      <alignment/>
      <protection locked="0"/>
    </xf>
    <xf numFmtId="0" fontId="59" fillId="0" borderId="0" xfId="0" applyFont="1" applyAlignment="1">
      <alignment/>
    </xf>
    <xf numFmtId="10" fontId="0" fillId="33" borderId="23" xfId="0" applyNumberFormat="1" applyFont="1" applyFill="1" applyBorder="1" applyAlignment="1" applyProtection="1">
      <alignment/>
      <protection hidden="1" locked="0"/>
    </xf>
    <xf numFmtId="10" fontId="0" fillId="33" borderId="23" xfId="55" applyNumberFormat="1" applyFont="1" applyFill="1" applyBorder="1" applyAlignment="1" applyProtection="1">
      <alignment/>
      <protection locked="0"/>
    </xf>
    <xf numFmtId="193" fontId="0" fillId="0" borderId="0" xfId="49" applyFont="1" applyBorder="1" applyAlignment="1">
      <alignment/>
    </xf>
    <xf numFmtId="14" fontId="60" fillId="0" borderId="0" xfId="0" applyNumberFormat="1" applyFont="1" applyAlignment="1">
      <alignment/>
    </xf>
    <xf numFmtId="0" fontId="60" fillId="0" borderId="0" xfId="0" applyFont="1" applyAlignment="1">
      <alignment/>
    </xf>
    <xf numFmtId="0" fontId="0" fillId="0" borderId="0" xfId="0" applyFont="1" applyAlignment="1">
      <alignment/>
    </xf>
    <xf numFmtId="1" fontId="0" fillId="0" borderId="0" xfId="0" applyNumberFormat="1" applyFont="1" applyAlignment="1">
      <alignment/>
    </xf>
    <xf numFmtId="14" fontId="0" fillId="0" borderId="0" xfId="0" applyNumberFormat="1" applyFont="1" applyAlignment="1">
      <alignment/>
    </xf>
    <xf numFmtId="10" fontId="0" fillId="0" borderId="19" xfId="0" applyNumberFormat="1" applyFont="1" applyFill="1" applyBorder="1" applyAlignment="1" applyProtection="1">
      <alignment/>
      <protection hidden="1"/>
    </xf>
    <xf numFmtId="194" fontId="0" fillId="0" borderId="20" xfId="0" applyNumberFormat="1" applyFont="1" applyFill="1" applyBorder="1" applyAlignment="1" applyProtection="1">
      <alignment/>
      <protection hidden="1"/>
    </xf>
    <xf numFmtId="194" fontId="0" fillId="33" borderId="20" xfId="0" applyNumberFormat="1" applyFont="1" applyFill="1" applyBorder="1" applyAlignment="1" applyProtection="1">
      <alignment/>
      <protection/>
    </xf>
    <xf numFmtId="194" fontId="0" fillId="0" borderId="20" xfId="0" applyNumberFormat="1" applyFont="1" applyFill="1" applyBorder="1" applyAlignment="1" applyProtection="1">
      <alignment/>
      <protection/>
    </xf>
    <xf numFmtId="196" fontId="0" fillId="0" borderId="20" xfId="55" applyNumberFormat="1" applyFont="1" applyBorder="1" applyAlignment="1" applyProtection="1">
      <alignment/>
      <protection hidden="1"/>
    </xf>
    <xf numFmtId="0" fontId="15" fillId="0" borderId="0" xfId="0" applyFont="1" applyFill="1" applyBorder="1" applyAlignment="1" applyProtection="1">
      <alignment horizontal="center" textRotation="255"/>
      <protection hidden="1"/>
    </xf>
    <xf numFmtId="0" fontId="0" fillId="34" borderId="0" xfId="0" applyFont="1" applyFill="1" applyAlignment="1">
      <alignment/>
    </xf>
    <xf numFmtId="0" fontId="18" fillId="0" borderId="0" xfId="46" applyFont="1" applyAlignment="1" applyProtection="1">
      <alignment/>
      <protection/>
    </xf>
    <xf numFmtId="10" fontId="61" fillId="33" borderId="23" xfId="55" applyNumberFormat="1" applyFont="1" applyFill="1" applyBorder="1" applyAlignment="1" applyProtection="1">
      <alignment/>
      <protection locked="0"/>
    </xf>
    <xf numFmtId="194" fontId="61" fillId="0" borderId="10" xfId="0" applyNumberFormat="1" applyFont="1" applyFill="1" applyBorder="1" applyAlignment="1" applyProtection="1">
      <alignment horizontal="right"/>
      <protection locked="0"/>
    </xf>
    <xf numFmtId="10" fontId="61" fillId="33" borderId="23" xfId="55" applyNumberFormat="1" applyFont="1" applyFill="1" applyBorder="1" applyAlignment="1" applyProtection="1">
      <alignment horizontal="right"/>
      <protection locked="0"/>
    </xf>
    <xf numFmtId="10" fontId="61" fillId="0" borderId="19" xfId="0" applyNumberFormat="1" applyFont="1" applyFill="1" applyBorder="1" applyAlignment="1" applyProtection="1">
      <alignment/>
      <protection hidden="1"/>
    </xf>
    <xf numFmtId="194" fontId="61" fillId="0" borderId="20" xfId="0" applyNumberFormat="1" applyFont="1" applyFill="1" applyBorder="1" applyAlignment="1" applyProtection="1">
      <alignment/>
      <protection hidden="1"/>
    </xf>
    <xf numFmtId="194" fontId="61" fillId="33" borderId="20" xfId="0" applyNumberFormat="1" applyFont="1" applyFill="1" applyBorder="1" applyAlignment="1" applyProtection="1">
      <alignment/>
      <protection/>
    </xf>
    <xf numFmtId="194" fontId="61" fillId="0" borderId="20" xfId="0" applyNumberFormat="1" applyFont="1" applyFill="1" applyBorder="1" applyAlignment="1" applyProtection="1">
      <alignment/>
      <protection/>
    </xf>
    <xf numFmtId="196" fontId="61" fillId="0" borderId="20" xfId="55" applyNumberFormat="1" applyFont="1" applyBorder="1" applyAlignment="1" applyProtection="1">
      <alignment/>
      <protection hidden="1"/>
    </xf>
    <xf numFmtId="0" fontId="61" fillId="0" borderId="20" xfId="0" applyFont="1" applyFill="1" applyBorder="1" applyAlignment="1" applyProtection="1">
      <alignment/>
      <protection hidden="1"/>
    </xf>
    <xf numFmtId="3" fontId="61" fillId="0" borderId="20" xfId="0" applyNumberFormat="1" applyFont="1" applyFill="1" applyBorder="1" applyAlignment="1" applyProtection="1">
      <alignment/>
      <protection hidden="1"/>
    </xf>
    <xf numFmtId="3" fontId="61" fillId="0" borderId="21" xfId="0" applyNumberFormat="1" applyFont="1" applyFill="1" applyBorder="1" applyAlignment="1" applyProtection="1">
      <alignment/>
      <protection hidden="1"/>
    </xf>
    <xf numFmtId="0" fontId="62" fillId="0" borderId="0" xfId="0" applyFont="1" applyFill="1" applyBorder="1" applyAlignment="1" applyProtection="1">
      <alignment horizontal="center" textRotation="255"/>
      <protection hidden="1"/>
    </xf>
    <xf numFmtId="0" fontId="61" fillId="0" borderId="0" xfId="0" applyFont="1" applyFill="1" applyAlignment="1" applyProtection="1">
      <alignment/>
      <protection hidden="1"/>
    </xf>
    <xf numFmtId="196" fontId="61" fillId="39" borderId="24" xfId="55" applyNumberFormat="1" applyFont="1" applyFill="1" applyBorder="1" applyAlignment="1" applyProtection="1">
      <alignment/>
      <protection hidden="1"/>
    </xf>
    <xf numFmtId="0" fontId="61" fillId="39" borderId="24" xfId="0" applyFont="1" applyFill="1" applyBorder="1" applyAlignment="1" applyProtection="1">
      <alignment/>
      <protection hidden="1"/>
    </xf>
    <xf numFmtId="3" fontId="63" fillId="39" borderId="25" xfId="0" applyNumberFormat="1" applyFont="1" applyFill="1" applyBorder="1" applyAlignment="1" applyProtection="1">
      <alignment/>
      <protection hidden="1"/>
    </xf>
    <xf numFmtId="3" fontId="61" fillId="0" borderId="26" xfId="0" applyNumberFormat="1" applyFont="1" applyFill="1" applyBorder="1" applyAlignment="1" applyProtection="1">
      <alignment/>
      <protection hidden="1"/>
    </xf>
    <xf numFmtId="0" fontId="61" fillId="0" borderId="27" xfId="0" applyFont="1" applyFill="1" applyBorder="1" applyAlignment="1" applyProtection="1">
      <alignment/>
      <protection hidden="1"/>
    </xf>
    <xf numFmtId="3" fontId="61" fillId="0" borderId="0" xfId="0" applyNumberFormat="1" applyFont="1" applyFill="1" applyAlignment="1" applyProtection="1">
      <alignment/>
      <protection hidden="1"/>
    </xf>
    <xf numFmtId="10" fontId="61" fillId="33" borderId="0" xfId="55" applyNumberFormat="1" applyFont="1" applyFill="1" applyBorder="1" applyAlignment="1" applyProtection="1">
      <alignment/>
      <protection locked="0"/>
    </xf>
    <xf numFmtId="194" fontId="61" fillId="33" borderId="0" xfId="0" applyNumberFormat="1" applyFont="1" applyFill="1" applyBorder="1" applyAlignment="1" applyProtection="1">
      <alignment/>
      <protection locked="0"/>
    </xf>
    <xf numFmtId="196" fontId="61" fillId="0" borderId="0" xfId="55" applyNumberFormat="1" applyFont="1" applyAlignment="1" applyProtection="1">
      <alignment/>
      <protection hidden="1"/>
    </xf>
    <xf numFmtId="10" fontId="64" fillId="40" borderId="28" xfId="55" applyNumberFormat="1" applyFont="1" applyFill="1" applyBorder="1" applyAlignment="1" applyProtection="1">
      <alignment/>
      <protection locked="0"/>
    </xf>
    <xf numFmtId="194" fontId="61" fillId="40" borderId="29" xfId="0" applyNumberFormat="1" applyFont="1" applyFill="1" applyBorder="1" applyAlignment="1" applyProtection="1">
      <alignment/>
      <protection locked="0"/>
    </xf>
    <xf numFmtId="194" fontId="61" fillId="39" borderId="29" xfId="0" applyNumberFormat="1" applyFont="1" applyFill="1" applyBorder="1" applyAlignment="1" applyProtection="1">
      <alignment/>
      <protection hidden="1"/>
    </xf>
    <xf numFmtId="0" fontId="61" fillId="39" borderId="29" xfId="0" applyFont="1" applyFill="1" applyBorder="1" applyAlignment="1" applyProtection="1">
      <alignment/>
      <protection hidden="1"/>
    </xf>
    <xf numFmtId="214" fontId="64" fillId="39" borderId="30" xfId="49" applyNumberFormat="1" applyFont="1" applyFill="1" applyBorder="1" applyAlignment="1" applyProtection="1">
      <alignment/>
      <protection hidden="1"/>
    </xf>
    <xf numFmtId="10" fontId="64" fillId="40" borderId="31" xfId="55" applyNumberFormat="1" applyFont="1" applyFill="1" applyBorder="1" applyAlignment="1" applyProtection="1">
      <alignment/>
      <protection locked="0"/>
    </xf>
    <xf numFmtId="194" fontId="61" fillId="40" borderId="0" xfId="0" applyNumberFormat="1" applyFont="1" applyFill="1" applyBorder="1" applyAlignment="1" applyProtection="1">
      <alignment/>
      <protection locked="0"/>
    </xf>
    <xf numFmtId="194" fontId="61" fillId="39" borderId="0" xfId="0" applyNumberFormat="1" applyFont="1" applyFill="1" applyBorder="1" applyAlignment="1" applyProtection="1">
      <alignment/>
      <protection hidden="1"/>
    </xf>
    <xf numFmtId="0" fontId="61" fillId="39" borderId="0" xfId="0" applyFont="1" applyFill="1" applyBorder="1" applyAlignment="1" applyProtection="1">
      <alignment/>
      <protection hidden="1"/>
    </xf>
    <xf numFmtId="214" fontId="64" fillId="41" borderId="32" xfId="49" applyNumberFormat="1" applyFont="1" applyFill="1" applyBorder="1" applyAlignment="1" applyProtection="1">
      <alignment/>
      <protection hidden="1" locked="0"/>
    </xf>
    <xf numFmtId="214" fontId="64" fillId="39" borderId="32" xfId="49" applyNumberFormat="1" applyFont="1" applyFill="1" applyBorder="1" applyAlignment="1" applyProtection="1">
      <alignment/>
      <protection hidden="1"/>
    </xf>
    <xf numFmtId="10" fontId="64" fillId="40" borderId="33" xfId="55" applyNumberFormat="1" applyFont="1" applyFill="1" applyBorder="1" applyAlignment="1" applyProtection="1">
      <alignment/>
      <protection locked="0"/>
    </xf>
    <xf numFmtId="194" fontId="61" fillId="40" borderId="34" xfId="0" applyNumberFormat="1" applyFont="1" applyFill="1" applyBorder="1" applyAlignment="1" applyProtection="1">
      <alignment/>
      <protection locked="0"/>
    </xf>
    <xf numFmtId="194" fontId="61" fillId="39" borderId="34" xfId="0" applyNumberFormat="1" applyFont="1" applyFill="1" applyBorder="1" applyAlignment="1" applyProtection="1">
      <alignment/>
      <protection hidden="1"/>
    </xf>
    <xf numFmtId="0" fontId="61" fillId="39" borderId="34" xfId="0" applyFont="1" applyFill="1" applyBorder="1" applyAlignment="1" applyProtection="1">
      <alignment/>
      <protection hidden="1"/>
    </xf>
    <xf numFmtId="214" fontId="64" fillId="39" borderId="35" xfId="49" applyNumberFormat="1" applyFont="1" applyFill="1" applyBorder="1" applyAlignment="1" applyProtection="1">
      <alignment/>
      <protection hidden="1"/>
    </xf>
    <xf numFmtId="0" fontId="61" fillId="0" borderId="0" xfId="0" applyFont="1" applyAlignment="1">
      <alignment/>
    </xf>
    <xf numFmtId="1" fontId="61" fillId="0" borderId="0" xfId="0" applyNumberFormat="1" applyFont="1" applyAlignment="1">
      <alignment/>
    </xf>
    <xf numFmtId="14" fontId="61" fillId="0" borderId="0" xfId="0" applyNumberFormat="1" applyFont="1" applyAlignment="1">
      <alignment/>
    </xf>
    <xf numFmtId="0" fontId="60" fillId="34" borderId="0" xfId="0" applyFont="1" applyFill="1" applyAlignment="1">
      <alignment/>
    </xf>
    <xf numFmtId="0" fontId="15" fillId="42" borderId="36" xfId="0" applyFont="1" applyFill="1" applyBorder="1" applyAlignment="1" applyProtection="1">
      <alignment horizontal="center"/>
      <protection hidden="1"/>
    </xf>
    <xf numFmtId="194" fontId="15" fillId="42" borderId="37" xfId="0" applyNumberFormat="1" applyFont="1" applyFill="1" applyBorder="1" applyAlignment="1" applyProtection="1">
      <alignment horizontal="center"/>
      <protection hidden="1"/>
    </xf>
    <xf numFmtId="194" fontId="15" fillId="42" borderId="38" xfId="0" applyNumberFormat="1" applyFont="1" applyFill="1" applyBorder="1" applyAlignment="1" applyProtection="1">
      <alignment horizontal="center"/>
      <protection hidden="1"/>
    </xf>
    <xf numFmtId="194" fontId="19" fillId="0" borderId="23" xfId="0" applyNumberFormat="1" applyFont="1" applyBorder="1" applyAlignment="1" applyProtection="1">
      <alignment horizontal="right"/>
      <protection locked="0"/>
    </xf>
    <xf numFmtId="191" fontId="61" fillId="0" borderId="0" xfId="50" applyFont="1" applyFill="1" applyAlignment="1" applyProtection="1">
      <alignment/>
      <protection hidden="1"/>
    </xf>
    <xf numFmtId="220" fontId="61" fillId="0" borderId="0" xfId="50" applyNumberFormat="1" applyFont="1" applyFill="1" applyAlignment="1" applyProtection="1">
      <alignment/>
      <protection hidden="1"/>
    </xf>
    <xf numFmtId="191" fontId="61" fillId="0" borderId="0" xfId="0" applyNumberFormat="1" applyFont="1" applyFill="1" applyAlignment="1" applyProtection="1">
      <alignment/>
      <protection hidden="1"/>
    </xf>
    <xf numFmtId="220" fontId="0" fillId="0" borderId="0" xfId="0" applyNumberFormat="1" applyFont="1" applyFill="1" applyAlignment="1" applyProtection="1">
      <alignment/>
      <protection hidden="1"/>
    </xf>
    <xf numFmtId="0" fontId="16" fillId="34" borderId="0" xfId="0" applyFont="1" applyFill="1" applyAlignment="1">
      <alignment horizontal="center" vertical="center"/>
    </xf>
    <xf numFmtId="0" fontId="17" fillId="43" borderId="0" xfId="0" applyFont="1" applyFill="1" applyBorder="1" applyAlignment="1">
      <alignment horizontal="center" vertical="center" wrapText="1"/>
    </xf>
    <xf numFmtId="0" fontId="6" fillId="0" borderId="0" xfId="0" applyFont="1" applyBorder="1" applyAlignment="1">
      <alignment horizontal="left" vertical="top" wrapText="1"/>
    </xf>
    <xf numFmtId="0" fontId="12" fillId="0" borderId="28"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5" xfId="0" applyFont="1" applyBorder="1" applyAlignment="1">
      <alignment horizontal="center" vertical="center" wrapText="1"/>
    </xf>
    <xf numFmtId="0" fontId="65" fillId="0" borderId="0" xfId="0" applyFont="1" applyFill="1" applyBorder="1" applyAlignment="1">
      <alignment horizontal="center" vertical="center" wrapText="1"/>
    </xf>
    <xf numFmtId="17" fontId="2" fillId="35" borderId="39" xfId="0" applyNumberFormat="1" applyFont="1" applyFill="1" applyBorder="1" applyAlignment="1" applyProtection="1">
      <alignment horizontal="center"/>
      <protection/>
    </xf>
    <xf numFmtId="17" fontId="2" fillId="35" borderId="40" xfId="0" applyNumberFormat="1" applyFont="1" applyFill="1" applyBorder="1" applyAlignment="1" applyProtection="1">
      <alignment horizontal="center"/>
      <protection/>
    </xf>
    <xf numFmtId="194" fontId="14" fillId="0" borderId="41" xfId="0" applyNumberFormat="1" applyFont="1" applyFill="1" applyBorder="1" applyAlignment="1" applyProtection="1">
      <alignment horizontal="left"/>
      <protection/>
    </xf>
    <xf numFmtId="194" fontId="2" fillId="35" borderId="40" xfId="0" applyNumberFormat="1" applyFont="1" applyFill="1" applyBorder="1" applyAlignment="1" applyProtection="1">
      <alignment horizontal="center"/>
      <protection/>
    </xf>
    <xf numFmtId="194" fontId="2" fillId="35" borderId="42" xfId="0" applyNumberFormat="1" applyFont="1" applyFill="1" applyBorder="1" applyAlignment="1" applyProtection="1">
      <alignment horizontal="center"/>
      <protection/>
    </xf>
    <xf numFmtId="10" fontId="62" fillId="40" borderId="43" xfId="55" applyNumberFormat="1" applyFont="1" applyFill="1" applyBorder="1" applyAlignment="1" applyProtection="1">
      <alignment horizontal="center"/>
      <protection locked="0"/>
    </xf>
    <xf numFmtId="10" fontId="62" fillId="40" borderId="24" xfId="55" applyNumberFormat="1" applyFont="1" applyFill="1" applyBorder="1" applyAlignment="1" applyProtection="1">
      <alignment horizontal="center"/>
      <protection locked="0"/>
    </xf>
    <xf numFmtId="3" fontId="19" fillId="0" borderId="10" xfId="49" applyNumberFormat="1" applyFont="1" applyBorder="1" applyAlignment="1" applyProtection="1">
      <alignment horizontal="right"/>
      <protection locked="0"/>
    </xf>
    <xf numFmtId="0" fontId="66" fillId="0" borderId="0" xfId="0" applyFont="1" applyAlignment="1">
      <alignment horizontal="center" vertical="center" wrapText="1"/>
    </xf>
    <xf numFmtId="194" fontId="2" fillId="38" borderId="20" xfId="0" applyNumberFormat="1" applyFont="1" applyFill="1" applyBorder="1" applyAlignment="1" applyProtection="1">
      <alignment horizontal="center" vertical="center" wrapText="1"/>
      <protection hidden="1"/>
    </xf>
    <xf numFmtId="194" fontId="2" fillId="44" borderId="20" xfId="0" applyNumberFormat="1" applyFont="1" applyFill="1" applyBorder="1" applyAlignment="1" applyProtection="1">
      <alignment horizontal="center" wrapText="1"/>
      <protection hidden="1"/>
    </xf>
    <xf numFmtId="3" fontId="9" fillId="42" borderId="12" xfId="0" applyNumberFormat="1"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7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0.emf" /><Relationship Id="rId4"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1.png" /><Relationship Id="rId3" Type="http://schemas.openxmlformats.org/officeDocument/2006/relationships/hyperlink" Target="http://www.niv.com.ar/gifs/iconos/view/icono736.gif" TargetMode="External" /><Relationship Id="rId4" Type="http://schemas.openxmlformats.org/officeDocument/2006/relationships/hyperlink" Target="http://www.niv.com.ar/gifs/iconos/view/icono736.gif" TargetMode="External" /><Relationship Id="rId5"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2.png" /><Relationship Id="rId3" Type="http://schemas.openxmlformats.org/officeDocument/2006/relationships/hyperlink" Target="http://www.niv.com.ar/gifs/iconos/view/icono738.gif" TargetMode="External" /><Relationship Id="rId4" Type="http://schemas.openxmlformats.org/officeDocument/2006/relationships/hyperlink" Target="http://www.niv.com.ar/gifs/iconos/view/icono738.gif" TargetMode="External" /><Relationship Id="rId5" Type="http://schemas.openxmlformats.org/officeDocument/2006/relationships/image" Target="../media/image4.emf" /><Relationship Id="rId6" Type="http://schemas.openxmlformats.org/officeDocument/2006/relationships/image" Target="../media/image6.emf" /><Relationship Id="rId7" Type="http://schemas.openxmlformats.org/officeDocument/2006/relationships/image" Target="../media/image5.emf" /><Relationship Id="rId8"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21</xdr:row>
      <xdr:rowOff>95250</xdr:rowOff>
    </xdr:from>
    <xdr:to>
      <xdr:col>3</xdr:col>
      <xdr:colOff>19050</xdr:colOff>
      <xdr:row>26</xdr:row>
      <xdr:rowOff>133350</xdr:rowOff>
    </xdr:to>
    <xdr:sp>
      <xdr:nvSpPr>
        <xdr:cNvPr id="1" name="Rectangle 151"/>
        <xdr:cNvSpPr>
          <a:spLocks/>
        </xdr:cNvSpPr>
      </xdr:nvSpPr>
      <xdr:spPr>
        <a:xfrm>
          <a:off x="228600" y="4362450"/>
          <a:ext cx="5362575" cy="885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1285875</xdr:colOff>
      <xdr:row>4</xdr:row>
      <xdr:rowOff>0</xdr:rowOff>
    </xdr:from>
    <xdr:to>
      <xdr:col>2</xdr:col>
      <xdr:colOff>409575</xdr:colOff>
      <xdr:row>9</xdr:row>
      <xdr:rowOff>0</xdr:rowOff>
    </xdr:to>
    <xdr:pic>
      <xdr:nvPicPr>
        <xdr:cNvPr id="2" name="CommandButton2"/>
        <xdr:cNvPicPr preferRelativeResize="1">
          <a:picLocks noChangeAspect="1"/>
        </xdr:cNvPicPr>
      </xdr:nvPicPr>
      <xdr:blipFill>
        <a:blip r:embed="rId1"/>
        <a:stretch>
          <a:fillRect/>
        </a:stretch>
      </xdr:blipFill>
      <xdr:spPr>
        <a:xfrm>
          <a:off x="1533525" y="657225"/>
          <a:ext cx="1295400" cy="1485900"/>
        </a:xfrm>
        <a:prstGeom prst="rect">
          <a:avLst/>
        </a:prstGeom>
        <a:noFill/>
        <a:ln w="9525" cmpd="sng">
          <a:noFill/>
        </a:ln>
      </xdr:spPr>
    </xdr:pic>
    <xdr:clientData fPrintsWithSheet="0"/>
  </xdr:twoCellAnchor>
  <xdr:twoCellAnchor editAs="oneCell">
    <xdr:from>
      <xdr:col>2</xdr:col>
      <xdr:colOff>571500</xdr:colOff>
      <xdr:row>4</xdr:row>
      <xdr:rowOff>0</xdr:rowOff>
    </xdr:from>
    <xdr:to>
      <xdr:col>2</xdr:col>
      <xdr:colOff>1866900</xdr:colOff>
      <xdr:row>9</xdr:row>
      <xdr:rowOff>0</xdr:rowOff>
    </xdr:to>
    <xdr:pic>
      <xdr:nvPicPr>
        <xdr:cNvPr id="3" name="CommandButton1"/>
        <xdr:cNvPicPr preferRelativeResize="1">
          <a:picLocks noChangeAspect="1"/>
        </xdr:cNvPicPr>
      </xdr:nvPicPr>
      <xdr:blipFill>
        <a:blip r:embed="rId2"/>
        <a:stretch>
          <a:fillRect/>
        </a:stretch>
      </xdr:blipFill>
      <xdr:spPr>
        <a:xfrm>
          <a:off x="2990850" y="657225"/>
          <a:ext cx="1295400" cy="1485900"/>
        </a:xfrm>
        <a:prstGeom prst="rect">
          <a:avLst/>
        </a:prstGeom>
        <a:noFill/>
        <a:ln w="9525" cmpd="sng">
          <a:noFill/>
        </a:ln>
      </xdr:spPr>
    </xdr:pic>
    <xdr:clientData fPrintsWithSheet="0"/>
  </xdr:twoCellAnchor>
  <xdr:twoCellAnchor editAs="oneCell">
    <xdr:from>
      <xdr:col>1</xdr:col>
      <xdr:colOff>0</xdr:colOff>
      <xdr:row>4</xdr:row>
      <xdr:rowOff>0</xdr:rowOff>
    </xdr:from>
    <xdr:to>
      <xdr:col>1</xdr:col>
      <xdr:colOff>1295400</xdr:colOff>
      <xdr:row>9</xdr:row>
      <xdr:rowOff>0</xdr:rowOff>
    </xdr:to>
    <xdr:pic>
      <xdr:nvPicPr>
        <xdr:cNvPr id="4" name="CommandButton4"/>
        <xdr:cNvPicPr preferRelativeResize="1">
          <a:picLocks noChangeAspect="1"/>
        </xdr:cNvPicPr>
      </xdr:nvPicPr>
      <xdr:blipFill>
        <a:blip r:embed="rId3"/>
        <a:stretch>
          <a:fillRect/>
        </a:stretch>
      </xdr:blipFill>
      <xdr:spPr>
        <a:xfrm>
          <a:off x="247650" y="657225"/>
          <a:ext cx="1295400" cy="1485900"/>
        </a:xfrm>
        <a:prstGeom prst="rect">
          <a:avLst/>
        </a:prstGeom>
        <a:noFill/>
        <a:ln w="9525" cmpd="sng">
          <a:noFill/>
        </a:ln>
      </xdr:spPr>
    </xdr:pic>
    <xdr:clientData fPrintsWithSheet="0"/>
  </xdr:twoCellAnchor>
  <xdr:twoCellAnchor editAs="oneCell">
    <xdr:from>
      <xdr:col>2</xdr:col>
      <xdr:colOff>1857375</xdr:colOff>
      <xdr:row>4</xdr:row>
      <xdr:rowOff>0</xdr:rowOff>
    </xdr:from>
    <xdr:to>
      <xdr:col>2</xdr:col>
      <xdr:colOff>3152775</xdr:colOff>
      <xdr:row>9</xdr:row>
      <xdr:rowOff>0</xdr:rowOff>
    </xdr:to>
    <xdr:pic>
      <xdr:nvPicPr>
        <xdr:cNvPr id="5" name="CommandButton5"/>
        <xdr:cNvPicPr preferRelativeResize="1">
          <a:picLocks noChangeAspect="1"/>
        </xdr:cNvPicPr>
      </xdr:nvPicPr>
      <xdr:blipFill>
        <a:blip r:embed="rId4"/>
        <a:stretch>
          <a:fillRect/>
        </a:stretch>
      </xdr:blipFill>
      <xdr:spPr>
        <a:xfrm>
          <a:off x="4276725" y="657225"/>
          <a:ext cx="1295400" cy="14859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0</xdr:row>
      <xdr:rowOff>38100</xdr:rowOff>
    </xdr:from>
    <xdr:to>
      <xdr:col>7</xdr:col>
      <xdr:colOff>581025</xdr:colOff>
      <xdr:row>2</xdr:row>
      <xdr:rowOff>66675</xdr:rowOff>
    </xdr:to>
    <xdr:pic>
      <xdr:nvPicPr>
        <xdr:cNvPr id="1" name="Picture 1" descr="LOGO"/>
        <xdr:cNvPicPr preferRelativeResize="1">
          <a:picLocks noChangeAspect="1"/>
        </xdr:cNvPicPr>
      </xdr:nvPicPr>
      <xdr:blipFill>
        <a:blip r:embed="rId1"/>
        <a:stretch>
          <a:fillRect/>
        </a:stretch>
      </xdr:blipFill>
      <xdr:spPr>
        <a:xfrm>
          <a:off x="561975" y="38100"/>
          <a:ext cx="4762500" cy="352425"/>
        </a:xfrm>
        <a:prstGeom prst="rect">
          <a:avLst/>
        </a:prstGeom>
        <a:noFill/>
        <a:ln w="9525" cmpd="sng">
          <a:noFill/>
        </a:ln>
      </xdr:spPr>
    </xdr:pic>
    <xdr:clientData fPrintsWithSheet="0"/>
  </xdr:twoCellAnchor>
  <xdr:twoCellAnchor>
    <xdr:from>
      <xdr:col>1</xdr:col>
      <xdr:colOff>457200</xdr:colOff>
      <xdr:row>0</xdr:row>
      <xdr:rowOff>57150</xdr:rowOff>
    </xdr:from>
    <xdr:to>
      <xdr:col>2</xdr:col>
      <xdr:colOff>104775</xdr:colOff>
      <xdr:row>2</xdr:row>
      <xdr:rowOff>66675</xdr:rowOff>
    </xdr:to>
    <xdr:pic>
      <xdr:nvPicPr>
        <xdr:cNvPr id="2" name="Picture 4" descr="icono736">
          <a:hlinkClick r:id="rId4"/>
        </xdr:cNvPr>
        <xdr:cNvPicPr preferRelativeResize="1">
          <a:picLocks noChangeAspect="1"/>
        </xdr:cNvPicPr>
      </xdr:nvPicPr>
      <xdr:blipFill>
        <a:blip r:embed="rId2"/>
        <a:stretch>
          <a:fillRect/>
        </a:stretch>
      </xdr:blipFill>
      <xdr:spPr>
        <a:xfrm>
          <a:off x="571500" y="57150"/>
          <a:ext cx="409575" cy="333375"/>
        </a:xfrm>
        <a:prstGeom prst="rect">
          <a:avLst/>
        </a:prstGeom>
        <a:noFill/>
        <a:ln w="9525" cmpd="sng">
          <a:noFill/>
        </a:ln>
      </xdr:spPr>
    </xdr:pic>
    <xdr:clientData/>
  </xdr:twoCellAnchor>
  <xdr:twoCellAnchor editAs="oneCell">
    <xdr:from>
      <xdr:col>1</xdr:col>
      <xdr:colOff>0</xdr:colOff>
      <xdr:row>0</xdr:row>
      <xdr:rowOff>28575</xdr:rowOff>
    </xdr:from>
    <xdr:to>
      <xdr:col>1</xdr:col>
      <xdr:colOff>466725</xdr:colOff>
      <xdr:row>2</xdr:row>
      <xdr:rowOff>76200</xdr:rowOff>
    </xdr:to>
    <xdr:pic>
      <xdr:nvPicPr>
        <xdr:cNvPr id="3" name="CommandButton1"/>
        <xdr:cNvPicPr preferRelativeResize="1">
          <a:picLocks noChangeAspect="1"/>
        </xdr:cNvPicPr>
      </xdr:nvPicPr>
      <xdr:blipFill>
        <a:blip r:embed="rId5"/>
        <a:stretch>
          <a:fillRect/>
        </a:stretch>
      </xdr:blipFill>
      <xdr:spPr>
        <a:xfrm>
          <a:off x="114300" y="28575"/>
          <a:ext cx="46672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28575</xdr:rowOff>
    </xdr:from>
    <xdr:to>
      <xdr:col>7</xdr:col>
      <xdr:colOff>914400</xdr:colOff>
      <xdr:row>1</xdr:row>
      <xdr:rowOff>361950</xdr:rowOff>
    </xdr:to>
    <xdr:pic>
      <xdr:nvPicPr>
        <xdr:cNvPr id="1" name="Picture 35" descr="LOGO"/>
        <xdr:cNvPicPr preferRelativeResize="1">
          <a:picLocks noChangeAspect="1"/>
        </xdr:cNvPicPr>
      </xdr:nvPicPr>
      <xdr:blipFill>
        <a:blip r:embed="rId1"/>
        <a:stretch>
          <a:fillRect/>
        </a:stretch>
      </xdr:blipFill>
      <xdr:spPr>
        <a:xfrm>
          <a:off x="161925" y="28575"/>
          <a:ext cx="5962650" cy="523875"/>
        </a:xfrm>
        <a:prstGeom prst="rect">
          <a:avLst/>
        </a:prstGeom>
        <a:noFill/>
        <a:ln w="9525" cmpd="sng">
          <a:noFill/>
        </a:ln>
      </xdr:spPr>
    </xdr:pic>
    <xdr:clientData fPrintsWithSheet="0"/>
  </xdr:twoCellAnchor>
  <xdr:twoCellAnchor>
    <xdr:from>
      <xdr:col>1</xdr:col>
      <xdr:colOff>0</xdr:colOff>
      <xdr:row>0</xdr:row>
      <xdr:rowOff>47625</xdr:rowOff>
    </xdr:from>
    <xdr:to>
      <xdr:col>1</xdr:col>
      <xdr:colOff>323850</xdr:colOff>
      <xdr:row>1</xdr:row>
      <xdr:rowOff>314325</xdr:rowOff>
    </xdr:to>
    <xdr:pic>
      <xdr:nvPicPr>
        <xdr:cNvPr id="2" name="Picture 43" descr="icono738">
          <a:hlinkClick r:id="rId4"/>
        </xdr:cNvPr>
        <xdr:cNvPicPr preferRelativeResize="1">
          <a:picLocks noChangeAspect="1"/>
        </xdr:cNvPicPr>
      </xdr:nvPicPr>
      <xdr:blipFill>
        <a:blip r:embed="rId2"/>
        <a:stretch>
          <a:fillRect/>
        </a:stretch>
      </xdr:blipFill>
      <xdr:spPr>
        <a:xfrm>
          <a:off x="171450" y="47625"/>
          <a:ext cx="323850" cy="457200"/>
        </a:xfrm>
        <a:prstGeom prst="rect">
          <a:avLst/>
        </a:prstGeom>
        <a:noFill/>
        <a:ln w="9525" cmpd="sng">
          <a:noFill/>
        </a:ln>
      </xdr:spPr>
    </xdr:pic>
    <xdr:clientData fPrintsWithSheet="0"/>
  </xdr:twoCellAnchor>
  <xdr:twoCellAnchor>
    <xdr:from>
      <xdr:col>1</xdr:col>
      <xdr:colOff>180975</xdr:colOff>
      <xdr:row>97</xdr:row>
      <xdr:rowOff>85725</xdr:rowOff>
    </xdr:from>
    <xdr:to>
      <xdr:col>2</xdr:col>
      <xdr:colOff>438150</xdr:colOff>
      <xdr:row>98</xdr:row>
      <xdr:rowOff>95250</xdr:rowOff>
    </xdr:to>
    <xdr:sp>
      <xdr:nvSpPr>
        <xdr:cNvPr id="3" name="Text Box 5"/>
        <xdr:cNvSpPr txBox="1">
          <a:spLocks noChangeArrowheads="1"/>
        </xdr:cNvSpPr>
      </xdr:nvSpPr>
      <xdr:spPr>
        <a:xfrm>
          <a:off x="352425" y="16525875"/>
          <a:ext cx="1314450" cy="1714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PROYECTÓ</a:t>
          </a:r>
        </a:p>
      </xdr:txBody>
    </xdr:sp>
    <xdr:clientData/>
  </xdr:twoCellAnchor>
  <xdr:twoCellAnchor>
    <xdr:from>
      <xdr:col>5</xdr:col>
      <xdr:colOff>95250</xdr:colOff>
      <xdr:row>97</xdr:row>
      <xdr:rowOff>85725</xdr:rowOff>
    </xdr:from>
    <xdr:to>
      <xdr:col>7</xdr:col>
      <xdr:colOff>381000</xdr:colOff>
      <xdr:row>98</xdr:row>
      <xdr:rowOff>95250</xdr:rowOff>
    </xdr:to>
    <xdr:sp>
      <xdr:nvSpPr>
        <xdr:cNvPr id="4" name="Text Box 7"/>
        <xdr:cNvSpPr txBox="1">
          <a:spLocks noChangeArrowheads="1"/>
        </xdr:cNvSpPr>
      </xdr:nvSpPr>
      <xdr:spPr>
        <a:xfrm>
          <a:off x="3390900" y="16525875"/>
          <a:ext cx="2200275" cy="1714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REVISÓ</a:t>
          </a:r>
        </a:p>
      </xdr:txBody>
    </xdr:sp>
    <xdr:clientData/>
  </xdr:twoCellAnchor>
  <xdr:twoCellAnchor>
    <xdr:from>
      <xdr:col>1</xdr:col>
      <xdr:colOff>304800</xdr:colOff>
      <xdr:row>97</xdr:row>
      <xdr:rowOff>104775</xdr:rowOff>
    </xdr:from>
    <xdr:to>
      <xdr:col>2</xdr:col>
      <xdr:colOff>457200</xdr:colOff>
      <xdr:row>97</xdr:row>
      <xdr:rowOff>104775</xdr:rowOff>
    </xdr:to>
    <xdr:sp>
      <xdr:nvSpPr>
        <xdr:cNvPr id="5" name="Line 6"/>
        <xdr:cNvSpPr>
          <a:spLocks/>
        </xdr:cNvSpPr>
      </xdr:nvSpPr>
      <xdr:spPr>
        <a:xfrm>
          <a:off x="476250" y="16544925"/>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97</xdr:row>
      <xdr:rowOff>104775</xdr:rowOff>
    </xdr:from>
    <xdr:to>
      <xdr:col>7</xdr:col>
      <xdr:colOff>304800</xdr:colOff>
      <xdr:row>97</xdr:row>
      <xdr:rowOff>104775</xdr:rowOff>
    </xdr:to>
    <xdr:sp>
      <xdr:nvSpPr>
        <xdr:cNvPr id="6" name="Line 6"/>
        <xdr:cNvSpPr>
          <a:spLocks/>
        </xdr:cNvSpPr>
      </xdr:nvSpPr>
      <xdr:spPr>
        <a:xfrm>
          <a:off x="3419475" y="16544925"/>
          <a:ext cx="2095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390525</xdr:colOff>
      <xdr:row>0</xdr:row>
      <xdr:rowOff>85725</xdr:rowOff>
    </xdr:from>
    <xdr:to>
      <xdr:col>1</xdr:col>
      <xdr:colOff>990600</xdr:colOff>
      <xdr:row>1</xdr:row>
      <xdr:rowOff>342900</xdr:rowOff>
    </xdr:to>
    <xdr:pic>
      <xdr:nvPicPr>
        <xdr:cNvPr id="7" name="CommandButton1"/>
        <xdr:cNvPicPr preferRelativeResize="1">
          <a:picLocks noChangeAspect="1"/>
        </xdr:cNvPicPr>
      </xdr:nvPicPr>
      <xdr:blipFill>
        <a:blip r:embed="rId5"/>
        <a:stretch>
          <a:fillRect/>
        </a:stretch>
      </xdr:blipFill>
      <xdr:spPr>
        <a:xfrm>
          <a:off x="561975" y="85725"/>
          <a:ext cx="600075" cy="447675"/>
        </a:xfrm>
        <a:prstGeom prst="rect">
          <a:avLst/>
        </a:prstGeom>
        <a:noFill/>
        <a:ln w="9525" cmpd="sng">
          <a:noFill/>
        </a:ln>
      </xdr:spPr>
    </xdr:pic>
    <xdr:clientData fPrintsWithSheet="0"/>
  </xdr:twoCellAnchor>
  <xdr:twoCellAnchor editAs="oneCell">
    <xdr:from>
      <xdr:col>1</xdr:col>
      <xdr:colOff>971550</xdr:colOff>
      <xdr:row>0</xdr:row>
      <xdr:rowOff>85725</xdr:rowOff>
    </xdr:from>
    <xdr:to>
      <xdr:col>2</xdr:col>
      <xdr:colOff>523875</xdr:colOff>
      <xdr:row>1</xdr:row>
      <xdr:rowOff>342900</xdr:rowOff>
    </xdr:to>
    <xdr:pic>
      <xdr:nvPicPr>
        <xdr:cNvPr id="8" name="CommandButton2"/>
        <xdr:cNvPicPr preferRelativeResize="1">
          <a:picLocks noChangeAspect="1"/>
        </xdr:cNvPicPr>
      </xdr:nvPicPr>
      <xdr:blipFill>
        <a:blip r:embed="rId6"/>
        <a:stretch>
          <a:fillRect/>
        </a:stretch>
      </xdr:blipFill>
      <xdr:spPr>
        <a:xfrm>
          <a:off x="1143000" y="85725"/>
          <a:ext cx="609600" cy="447675"/>
        </a:xfrm>
        <a:prstGeom prst="rect">
          <a:avLst/>
        </a:prstGeom>
        <a:noFill/>
        <a:ln w="9525" cmpd="sng">
          <a:noFill/>
        </a:ln>
      </xdr:spPr>
    </xdr:pic>
    <xdr:clientData fPrintsWithSheet="0"/>
  </xdr:twoCellAnchor>
  <xdr:twoCellAnchor editAs="oneCell">
    <xdr:from>
      <xdr:col>2</xdr:col>
      <xdr:colOff>504825</xdr:colOff>
      <xdr:row>0</xdr:row>
      <xdr:rowOff>85725</xdr:rowOff>
    </xdr:from>
    <xdr:to>
      <xdr:col>4</xdr:col>
      <xdr:colOff>47625</xdr:colOff>
      <xdr:row>1</xdr:row>
      <xdr:rowOff>342900</xdr:rowOff>
    </xdr:to>
    <xdr:pic>
      <xdr:nvPicPr>
        <xdr:cNvPr id="9" name="CommandButton3"/>
        <xdr:cNvPicPr preferRelativeResize="1">
          <a:picLocks noChangeAspect="1"/>
        </xdr:cNvPicPr>
      </xdr:nvPicPr>
      <xdr:blipFill>
        <a:blip r:embed="rId7"/>
        <a:stretch>
          <a:fillRect/>
        </a:stretch>
      </xdr:blipFill>
      <xdr:spPr>
        <a:xfrm>
          <a:off x="1733550" y="85725"/>
          <a:ext cx="600075" cy="447675"/>
        </a:xfrm>
        <a:prstGeom prst="rect">
          <a:avLst/>
        </a:prstGeom>
        <a:noFill/>
        <a:ln w="9525" cmpd="sng">
          <a:noFill/>
        </a:ln>
      </xdr:spPr>
    </xdr:pic>
    <xdr:clientData fPrintsWithSheet="0"/>
  </xdr:twoCellAnchor>
  <xdr:twoCellAnchor editAs="oneCell">
    <xdr:from>
      <xdr:col>4</xdr:col>
      <xdr:colOff>28575</xdr:colOff>
      <xdr:row>0</xdr:row>
      <xdr:rowOff>85725</xdr:rowOff>
    </xdr:from>
    <xdr:to>
      <xdr:col>4</xdr:col>
      <xdr:colOff>619125</xdr:colOff>
      <xdr:row>1</xdr:row>
      <xdr:rowOff>342900</xdr:rowOff>
    </xdr:to>
    <xdr:pic>
      <xdr:nvPicPr>
        <xdr:cNvPr id="10" name="CommandButton4"/>
        <xdr:cNvPicPr preferRelativeResize="1">
          <a:picLocks noChangeAspect="1"/>
        </xdr:cNvPicPr>
      </xdr:nvPicPr>
      <xdr:blipFill>
        <a:blip r:embed="rId8"/>
        <a:stretch>
          <a:fillRect/>
        </a:stretch>
      </xdr:blipFill>
      <xdr:spPr>
        <a:xfrm>
          <a:off x="2314575" y="85725"/>
          <a:ext cx="590550" cy="4476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uperfinanciera.gov.co/jsp/loader.jsf?lServicio=Publicaciones&amp;lTipo=publicaciones&amp;lFuncion=loadContenidoPublicacion&amp;id=10829&amp;reAncha=1"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
  <dimension ref="B2:IV39"/>
  <sheetViews>
    <sheetView showGridLines="0" tabSelected="1" defaultGridColor="0" zoomScalePageLayoutView="0" colorId="55" workbookViewId="0" topLeftCell="B1">
      <selection activeCell="IV11" sqref="IV11"/>
    </sheetView>
  </sheetViews>
  <sheetFormatPr defaultColWidth="0" defaultRowHeight="12.75"/>
  <cols>
    <col min="1" max="1" width="3.7109375" style="0" customWidth="1"/>
    <col min="2" max="2" width="32.57421875" style="0" customWidth="1"/>
    <col min="3" max="3" width="47.28125" style="0" customWidth="1"/>
    <col min="4" max="4" width="16.421875" style="51" customWidth="1"/>
    <col min="5" max="254" width="11.421875" style="51" hidden="1" customWidth="1"/>
    <col min="255" max="255" width="20.00390625" style="51" customWidth="1"/>
    <col min="256" max="16384" width="44.28125" style="51" customWidth="1"/>
  </cols>
  <sheetData>
    <row r="2" spans="2:3" ht="12.75">
      <c r="B2" s="122" t="s">
        <v>29</v>
      </c>
      <c r="C2" s="122"/>
    </row>
    <row r="3" spans="2:3" ht="20.25" customHeight="1">
      <c r="B3" s="122"/>
      <c r="C3" s="122"/>
    </row>
    <row r="4" ht="6" customHeight="1">
      <c r="G4" s="55"/>
    </row>
    <row r="5" spans="6:7" ht="42" customHeight="1">
      <c r="F5" s="55"/>
      <c r="G5" s="55"/>
    </row>
    <row r="6" spans="6:7" ht="36.75" customHeight="1">
      <c r="F6" s="55"/>
      <c r="G6" s="55"/>
    </row>
    <row r="7" spans="6:7" ht="12.75">
      <c r="F7" s="55"/>
      <c r="G7" s="55"/>
    </row>
    <row r="8" spans="6:7" ht="12.75">
      <c r="F8" s="55"/>
      <c r="G8" s="55"/>
    </row>
    <row r="9" spans="6:7" ht="12.75">
      <c r="F9" s="55"/>
      <c r="G9" s="55"/>
    </row>
    <row r="10" ht="5.25" customHeight="1" thickBot="1"/>
    <row r="11" spans="2:3" ht="13.5" thickBot="1">
      <c r="B11" s="14" t="s">
        <v>7</v>
      </c>
      <c r="C11" s="15" t="s">
        <v>6</v>
      </c>
    </row>
    <row r="12" spans="2:3" ht="12.75">
      <c r="B12" s="16" t="s">
        <v>31</v>
      </c>
      <c r="C12" s="44" t="s">
        <v>39</v>
      </c>
    </row>
    <row r="13" spans="2:3" ht="12.75">
      <c r="B13" s="17" t="s">
        <v>32</v>
      </c>
      <c r="C13" s="49" t="s">
        <v>38</v>
      </c>
    </row>
    <row r="14" spans="2:3" ht="12.75">
      <c r="B14" s="17" t="s">
        <v>33</v>
      </c>
      <c r="C14" s="50" t="s">
        <v>40</v>
      </c>
    </row>
    <row r="15" spans="2:3" ht="15">
      <c r="B15" s="17" t="s">
        <v>37</v>
      </c>
      <c r="C15" s="139">
        <v>10000000</v>
      </c>
    </row>
    <row r="16" spans="2:255" ht="15">
      <c r="B16" s="17" t="s">
        <v>34</v>
      </c>
      <c r="C16" s="117">
        <v>43205</v>
      </c>
      <c r="IU16" s="51" t="s">
        <v>45</v>
      </c>
    </row>
    <row r="17" spans="2:3" ht="15.75" thickBot="1">
      <c r="B17" s="18" t="s">
        <v>35</v>
      </c>
      <c r="C17" s="117">
        <v>43643</v>
      </c>
    </row>
    <row r="18" ht="24" customHeight="1" thickBot="1">
      <c r="IU18" s="140" t="s">
        <v>44</v>
      </c>
    </row>
    <row r="19" spans="2:256" ht="13.5" thickBot="1">
      <c r="B19" s="34" t="s">
        <v>46</v>
      </c>
      <c r="C19" s="35">
        <f>+Calculo!H5</f>
        <v>3303000</v>
      </c>
      <c r="IU19" s="143">
        <f>+Calculo!M81</f>
        <v>2607615.661478322</v>
      </c>
      <c r="IV19" s="51" t="str">
        <f>IF(IU19&gt;C19,"No conviene usar principio de favorabilidad","Si es conveniente utilizar principio de favorabilidad")</f>
        <v>Si es conveniente utilizar principio de favorabilidad</v>
      </c>
    </row>
    <row r="21" spans="2:3" ht="14.25" customHeight="1">
      <c r="B21" s="43" t="s">
        <v>22</v>
      </c>
      <c r="C21" s="59">
        <f ca="1">+TODAY()+90</f>
        <v>43722</v>
      </c>
    </row>
    <row r="22" ht="7.5" customHeight="1">
      <c r="C22" s="12"/>
    </row>
    <row r="23" spans="2:3" ht="12.75" customHeight="1">
      <c r="B23" s="36" t="s">
        <v>20</v>
      </c>
      <c r="C23" s="12"/>
    </row>
    <row r="24" spans="2:3" ht="21" customHeight="1">
      <c r="B24" s="36" t="s">
        <v>36</v>
      </c>
      <c r="C24" s="123" t="str">
        <f>IF((Tasas!O93=0),("La Tabla de Tasas está desactualizada, Actualícela antes de seguir"),(" * La Tabla de tasas está actualizada"))</f>
        <v> * La Tabla de tasas está actualizada</v>
      </c>
    </row>
    <row r="25" spans="2:3" ht="12.75" customHeight="1">
      <c r="B25" s="36" t="s">
        <v>13</v>
      </c>
      <c r="C25" s="123"/>
    </row>
    <row r="26" spans="2:3" ht="12.75" customHeight="1">
      <c r="B26" s="36" t="s">
        <v>14</v>
      </c>
      <c r="C26" s="123"/>
    </row>
    <row r="27" ht="13.5" customHeight="1">
      <c r="C27" s="13"/>
    </row>
    <row r="28" ht="12.75">
      <c r="C28" s="58"/>
    </row>
    <row r="29" ht="12.75">
      <c r="C29" s="11"/>
    </row>
    <row r="30" ht="12.75">
      <c r="C30" s="11"/>
    </row>
    <row r="37" ht="12.75">
      <c r="B37" s="59"/>
    </row>
    <row r="38" ht="12.75">
      <c r="B38" s="59"/>
    </row>
    <row r="39" ht="12.75">
      <c r="B39" s="60"/>
    </row>
  </sheetData>
  <sheetProtection/>
  <mergeCells count="2">
    <mergeCell ref="B2:C3"/>
    <mergeCell ref="C24:C26"/>
  </mergeCells>
  <dataValidations count="2">
    <dataValidation type="date" allowBlank="1" showInputMessage="1" showErrorMessage="1" prompt="Digite dia-mes-año&#10;Fecha en la que presentará la declaración liquidando intereses" errorTitle="FECHA " error="FORMATO DE FECHA DD/MM/AAAA&#10;LA FECHA DE PAGO ES SUPERIOR EN 90 DIAS AL DIA DE HOY" sqref="C17">
      <formula1>1</formula1>
      <formula2>C21</formula2>
    </dataValidation>
    <dataValidation type="date" allowBlank="1" showInputMessage="1" showErrorMessage="1" prompt="Digite dia-mes-año&#10;Fecha en la que presentará la declaración liquidando intereses" errorTitle="FECHA " error="FORMATO DE FECHA DD/MM/AAAA&#10;LA FECHA DE PAGO ES SUPERIOR EN 15 DIAS AL DIA DE HOY" sqref="C16">
      <formula1>1</formula1>
      <formula2>C21</formula2>
    </dataValidation>
  </dataValidations>
  <printOptions/>
  <pageMargins left="0.75" right="0.75" top="1" bottom="1" header="0" footer="0"/>
  <pageSetup horizontalDpi="600" verticalDpi="600" orientation="portrait" r:id="rId2"/>
  <headerFooter alignWithMargins="0">
    <oddFooter>&amp;Lwww.consultorcontable.com
DHV ASESORES LTDA&amp;R&amp;D&amp;T</oddFooter>
  </headerFooter>
  <drawing r:id="rId1"/>
</worksheet>
</file>

<file path=xl/worksheets/sheet2.xml><?xml version="1.0" encoding="utf-8"?>
<worksheet xmlns="http://schemas.openxmlformats.org/spreadsheetml/2006/main" xmlns:r="http://schemas.openxmlformats.org/officeDocument/2006/relationships">
  <sheetPr codeName="Hoja4"/>
  <dimension ref="B4:O93"/>
  <sheetViews>
    <sheetView showGridLines="0" defaultGridColor="0" zoomScalePageLayoutView="0" colorId="53" workbookViewId="0" topLeftCell="A64">
      <selection activeCell="B23" sqref="B23"/>
    </sheetView>
  </sheetViews>
  <sheetFormatPr defaultColWidth="0" defaultRowHeight="12.75"/>
  <cols>
    <col min="1" max="1" width="1.7109375" style="61" customWidth="1"/>
    <col min="2" max="2" width="11.421875" style="61" customWidth="1"/>
    <col min="3" max="3" width="12.28125" style="61" customWidth="1"/>
    <col min="4" max="11" width="11.421875" style="61" customWidth="1"/>
    <col min="12" max="12" width="7.57421875" style="61" customWidth="1"/>
    <col min="13" max="13" width="8.28125" style="61" hidden="1" customWidth="1"/>
    <col min="14" max="14" width="12.28125" style="61" hidden="1" customWidth="1"/>
    <col min="15" max="15" width="12.140625" style="61" hidden="1" customWidth="1"/>
    <col min="16" max="16384" width="11.421875" style="61" hidden="1" customWidth="1"/>
  </cols>
  <sheetData>
    <row r="1" ht="12.75"/>
    <row r="2" ht="12.75"/>
    <row r="3" ht="12.75"/>
    <row r="4" ht="12.75">
      <c r="B4" s="61" t="s">
        <v>30</v>
      </c>
    </row>
    <row r="5" spans="2:10" ht="20.25" customHeight="1">
      <c r="B5" s="124" t="s">
        <v>5</v>
      </c>
      <c r="C5" s="124"/>
      <c r="D5" s="124"/>
      <c r="E5" s="124"/>
      <c r="F5" s="124"/>
      <c r="G5" s="124"/>
      <c r="H5" s="124"/>
      <c r="I5" s="9"/>
      <c r="J5" s="9"/>
    </row>
    <row r="6" spans="2:10" ht="18" customHeight="1">
      <c r="B6" s="124"/>
      <c r="C6" s="124"/>
      <c r="D6" s="124"/>
      <c r="E6" s="124"/>
      <c r="F6" s="124"/>
      <c r="G6" s="124"/>
      <c r="H6" s="124"/>
      <c r="I6" s="9"/>
      <c r="J6" s="9"/>
    </row>
    <row r="7" spans="2:10" ht="19.5" customHeight="1">
      <c r="B7" s="124"/>
      <c r="C7" s="124"/>
      <c r="D7" s="124"/>
      <c r="E7" s="124"/>
      <c r="F7" s="124"/>
      <c r="G7" s="124"/>
      <c r="H7" s="124"/>
      <c r="I7" s="9"/>
      <c r="J7" s="9"/>
    </row>
    <row r="8" spans="2:10" ht="12.75">
      <c r="B8" s="9"/>
      <c r="C8" s="9"/>
      <c r="D8" s="9"/>
      <c r="E8" s="9"/>
      <c r="F8" s="9"/>
      <c r="G8" s="9"/>
      <c r="H8" s="9"/>
      <c r="I8" s="9"/>
      <c r="J8" s="9"/>
    </row>
    <row r="9" spans="2:4" ht="12.75">
      <c r="B9" s="113" t="s">
        <v>19</v>
      </c>
      <c r="C9" s="70"/>
      <c r="D9" s="70"/>
    </row>
    <row r="10" ht="12.75">
      <c r="B10" s="71" t="s">
        <v>41</v>
      </c>
    </row>
    <row r="11" ht="12.75">
      <c r="B11" s="71"/>
    </row>
    <row r="12" ht="13.5" thickBot="1">
      <c r="B12" s="71"/>
    </row>
    <row r="13" spans="2:7" ht="13.5" customHeight="1" thickBot="1">
      <c r="B13" s="114" t="s">
        <v>0</v>
      </c>
      <c r="C13" s="115" t="s">
        <v>1</v>
      </c>
      <c r="D13" s="116" t="s">
        <v>2</v>
      </c>
      <c r="F13" s="125" t="str">
        <f>+MENU!C24</f>
        <v> * La Tabla de tasas está actualizada</v>
      </c>
      <c r="G13" s="126"/>
    </row>
    <row r="14" spans="2:15" ht="12.75" customHeight="1">
      <c r="B14" s="56">
        <v>0.2063</v>
      </c>
      <c r="C14" s="8"/>
      <c r="D14" s="8">
        <v>38926</v>
      </c>
      <c r="F14" s="127"/>
      <c r="G14" s="128"/>
      <c r="O14" s="62">
        <f aca="true" ca="1" t="shared" si="0" ref="O14:O77">IF((TODAY()&gt;D14),0,1)</f>
        <v>0</v>
      </c>
    </row>
    <row r="15" spans="2:15" ht="12.75" customHeight="1">
      <c r="B15" s="56">
        <v>0.2262</v>
      </c>
      <c r="C15" s="8">
        <v>38927</v>
      </c>
      <c r="D15" s="8">
        <v>38929</v>
      </c>
      <c r="F15" s="127"/>
      <c r="G15" s="128"/>
      <c r="O15" s="62">
        <f ca="1" t="shared" si="0"/>
        <v>0</v>
      </c>
    </row>
    <row r="16" spans="2:15" ht="12.75" customHeight="1">
      <c r="B16" s="56">
        <v>0.2253</v>
      </c>
      <c r="C16" s="8">
        <v>38930</v>
      </c>
      <c r="D16" s="8">
        <v>38960</v>
      </c>
      <c r="F16" s="127"/>
      <c r="G16" s="128"/>
      <c r="O16" s="62">
        <f ca="1" t="shared" si="0"/>
        <v>0</v>
      </c>
    </row>
    <row r="17" spans="2:15" ht="12.75" customHeight="1">
      <c r="B17" s="56">
        <v>0.2258</v>
      </c>
      <c r="C17" s="8">
        <v>38961</v>
      </c>
      <c r="D17" s="8">
        <v>38990</v>
      </c>
      <c r="F17" s="127"/>
      <c r="G17" s="128"/>
      <c r="O17" s="62">
        <f ca="1" t="shared" si="0"/>
        <v>0</v>
      </c>
    </row>
    <row r="18" spans="2:15" ht="12.75" customHeight="1">
      <c r="B18" s="56">
        <v>0.2261</v>
      </c>
      <c r="C18" s="8">
        <v>38991</v>
      </c>
      <c r="D18" s="8">
        <v>39082</v>
      </c>
      <c r="F18" s="127"/>
      <c r="G18" s="128"/>
      <c r="O18" s="62">
        <f ca="1" t="shared" si="0"/>
        <v>0</v>
      </c>
    </row>
    <row r="19" spans="2:15" ht="12.75" customHeight="1">
      <c r="B19" s="57">
        <v>0.3209</v>
      </c>
      <c r="C19" s="8">
        <v>39083</v>
      </c>
      <c r="D19" s="8">
        <v>39138</v>
      </c>
      <c r="F19" s="127"/>
      <c r="G19" s="128"/>
      <c r="O19" s="62">
        <f ca="1" t="shared" si="0"/>
        <v>0</v>
      </c>
    </row>
    <row r="20" spans="2:15" ht="12.75" customHeight="1">
      <c r="B20" s="57">
        <v>0.2075</v>
      </c>
      <c r="C20" s="8">
        <v>39139</v>
      </c>
      <c r="D20" s="8">
        <v>39172</v>
      </c>
      <c r="F20" s="127"/>
      <c r="G20" s="128"/>
      <c r="N20" s="63"/>
      <c r="O20" s="62">
        <f ca="1" t="shared" si="0"/>
        <v>0</v>
      </c>
    </row>
    <row r="21" spans="2:15" ht="12.75" customHeight="1">
      <c r="B21" s="57">
        <v>0.2512</v>
      </c>
      <c r="C21" s="8">
        <v>39173</v>
      </c>
      <c r="D21" s="8">
        <v>39263</v>
      </c>
      <c r="F21" s="127"/>
      <c r="G21" s="128"/>
      <c r="O21" s="62">
        <f ca="1" t="shared" si="0"/>
        <v>0</v>
      </c>
    </row>
    <row r="22" spans="2:15" ht="12.75" customHeight="1">
      <c r="B22" s="57">
        <v>0.2851</v>
      </c>
      <c r="C22" s="8">
        <v>39264</v>
      </c>
      <c r="D22" s="8">
        <v>39355</v>
      </c>
      <c r="F22" s="127"/>
      <c r="G22" s="128"/>
      <c r="O22" s="62">
        <f ca="1" t="shared" si="0"/>
        <v>0</v>
      </c>
    </row>
    <row r="23" spans="2:15" ht="13.5" customHeight="1" thickBot="1">
      <c r="B23" s="72">
        <f>21.26*1.5%</f>
        <v>0.3189</v>
      </c>
      <c r="C23" s="73">
        <v>39356</v>
      </c>
      <c r="D23" s="73">
        <v>39447</v>
      </c>
      <c r="F23" s="129"/>
      <c r="G23" s="130"/>
      <c r="O23" s="62">
        <f ca="1" t="shared" si="0"/>
        <v>0</v>
      </c>
    </row>
    <row r="24" spans="2:15" s="110" customFormat="1" ht="12.75">
      <c r="B24" s="72">
        <v>0.3275</v>
      </c>
      <c r="C24" s="73">
        <v>39448</v>
      </c>
      <c r="D24" s="73">
        <v>39538</v>
      </c>
      <c r="O24" s="111">
        <f ca="1" t="shared" si="0"/>
        <v>0</v>
      </c>
    </row>
    <row r="25" spans="2:15" s="110" customFormat="1" ht="12.75">
      <c r="B25" s="72">
        <v>0.3288</v>
      </c>
      <c r="C25" s="73">
        <v>39539</v>
      </c>
      <c r="D25" s="73">
        <v>39629</v>
      </c>
      <c r="O25" s="111">
        <f ca="1" t="shared" si="0"/>
        <v>0</v>
      </c>
    </row>
    <row r="26" spans="2:15" s="110" customFormat="1" ht="12.75">
      <c r="B26" s="72">
        <v>0.3227</v>
      </c>
      <c r="C26" s="73">
        <v>39630</v>
      </c>
      <c r="D26" s="73">
        <v>39721</v>
      </c>
      <c r="O26" s="111">
        <f ca="1" t="shared" si="0"/>
        <v>0</v>
      </c>
    </row>
    <row r="27" spans="2:15" s="110" customFormat="1" ht="12.75">
      <c r="B27" s="72">
        <v>0.3153</v>
      </c>
      <c r="C27" s="73">
        <v>39722</v>
      </c>
      <c r="D27" s="73">
        <v>39813</v>
      </c>
      <c r="N27" s="112"/>
      <c r="O27" s="111">
        <f ca="1" t="shared" si="0"/>
        <v>0</v>
      </c>
    </row>
    <row r="28" spans="2:15" s="110" customFormat="1" ht="12.75">
      <c r="B28" s="72">
        <v>0.3071</v>
      </c>
      <c r="C28" s="73">
        <v>39814</v>
      </c>
      <c r="D28" s="73">
        <v>39903</v>
      </c>
      <c r="O28" s="111">
        <f ca="1" t="shared" si="0"/>
        <v>0</v>
      </c>
    </row>
    <row r="29" spans="2:15" s="110" customFormat="1" ht="12.75">
      <c r="B29" s="72">
        <v>0.3042</v>
      </c>
      <c r="C29" s="73">
        <v>39904</v>
      </c>
      <c r="D29" s="73">
        <v>39994</v>
      </c>
      <c r="O29" s="111">
        <f ca="1" t="shared" si="0"/>
        <v>0</v>
      </c>
    </row>
    <row r="30" spans="2:15" s="110" customFormat="1" ht="12.75">
      <c r="B30" s="72">
        <v>0.2798</v>
      </c>
      <c r="C30" s="73">
        <v>39995</v>
      </c>
      <c r="D30" s="73">
        <v>40086</v>
      </c>
      <c r="O30" s="111">
        <f ca="1" t="shared" si="0"/>
        <v>0</v>
      </c>
    </row>
    <row r="31" spans="2:15" s="110" customFormat="1" ht="12.75">
      <c r="B31" s="72">
        <v>0.2592</v>
      </c>
      <c r="C31" s="73">
        <v>40087</v>
      </c>
      <c r="D31" s="73">
        <v>40178</v>
      </c>
      <c r="O31" s="111">
        <f ca="1" t="shared" si="0"/>
        <v>0</v>
      </c>
    </row>
    <row r="32" spans="2:15" s="110" customFormat="1" ht="12.75">
      <c r="B32" s="72">
        <v>0.2421</v>
      </c>
      <c r="C32" s="73">
        <v>40179</v>
      </c>
      <c r="D32" s="73">
        <v>40268</v>
      </c>
      <c r="O32" s="111">
        <f ca="1" t="shared" si="0"/>
        <v>0</v>
      </c>
    </row>
    <row r="33" spans="2:15" s="110" customFormat="1" ht="12.75">
      <c r="B33" s="72">
        <v>0.2297</v>
      </c>
      <c r="C33" s="73">
        <v>40269</v>
      </c>
      <c r="D33" s="73">
        <v>40359</v>
      </c>
      <c r="O33" s="111">
        <f ca="1" t="shared" si="0"/>
        <v>0</v>
      </c>
    </row>
    <row r="34" spans="2:15" s="110" customFormat="1" ht="12.75">
      <c r="B34" s="72">
        <v>0.2241</v>
      </c>
      <c r="C34" s="73">
        <v>40360</v>
      </c>
      <c r="D34" s="73">
        <v>40451</v>
      </c>
      <c r="O34" s="111">
        <f ca="1" t="shared" si="0"/>
        <v>0</v>
      </c>
    </row>
    <row r="35" spans="2:15" s="110" customFormat="1" ht="12.75">
      <c r="B35" s="72">
        <v>0.2132</v>
      </c>
      <c r="C35" s="73">
        <v>40452</v>
      </c>
      <c r="D35" s="73">
        <v>40543</v>
      </c>
      <c r="O35" s="111">
        <f ca="1" t="shared" si="0"/>
        <v>0</v>
      </c>
    </row>
    <row r="36" spans="2:15" s="110" customFormat="1" ht="12.75">
      <c r="B36" s="72">
        <v>0.2342</v>
      </c>
      <c r="C36" s="73">
        <v>40544</v>
      </c>
      <c r="D36" s="73">
        <v>40633</v>
      </c>
      <c r="O36" s="111">
        <f ca="1" t="shared" si="0"/>
        <v>0</v>
      </c>
    </row>
    <row r="37" spans="2:15" s="110" customFormat="1" ht="12.75">
      <c r="B37" s="72">
        <v>0.2654</v>
      </c>
      <c r="C37" s="73">
        <v>40634</v>
      </c>
      <c r="D37" s="73">
        <v>40724</v>
      </c>
      <c r="O37" s="111">
        <f ca="1" t="shared" si="0"/>
        <v>0</v>
      </c>
    </row>
    <row r="38" spans="2:15" s="110" customFormat="1" ht="12.75">
      <c r="B38" s="72">
        <v>0.2795</v>
      </c>
      <c r="C38" s="73">
        <v>40725</v>
      </c>
      <c r="D38" s="73">
        <v>40816</v>
      </c>
      <c r="O38" s="111">
        <f ca="1" t="shared" si="0"/>
        <v>0</v>
      </c>
    </row>
    <row r="39" spans="2:15" s="110" customFormat="1" ht="12.75">
      <c r="B39" s="72">
        <v>0.2909</v>
      </c>
      <c r="C39" s="73">
        <v>40817</v>
      </c>
      <c r="D39" s="73">
        <v>40908</v>
      </c>
      <c r="O39" s="111">
        <f ca="1" t="shared" si="0"/>
        <v>0</v>
      </c>
    </row>
    <row r="40" spans="2:15" s="110" customFormat="1" ht="12.75">
      <c r="B40" s="72">
        <v>0.2988</v>
      </c>
      <c r="C40" s="73">
        <v>40909</v>
      </c>
      <c r="D40" s="73">
        <v>40999</v>
      </c>
      <c r="O40" s="111">
        <f ca="1" t="shared" si="0"/>
        <v>0</v>
      </c>
    </row>
    <row r="41" spans="2:15" s="110" customFormat="1" ht="12.75">
      <c r="B41" s="72">
        <v>0.3078</v>
      </c>
      <c r="C41" s="73">
        <v>41000</v>
      </c>
      <c r="D41" s="73">
        <v>41090</v>
      </c>
      <c r="O41" s="111">
        <f ca="1" t="shared" si="0"/>
        <v>0</v>
      </c>
    </row>
    <row r="42" spans="2:15" s="110" customFormat="1" ht="12.75">
      <c r="B42" s="72">
        <v>0.3129</v>
      </c>
      <c r="C42" s="73">
        <v>41091</v>
      </c>
      <c r="D42" s="73">
        <v>41182</v>
      </c>
      <c r="O42" s="111">
        <f ca="1" t="shared" si="0"/>
        <v>0</v>
      </c>
    </row>
    <row r="43" spans="2:15" s="110" customFormat="1" ht="12.75">
      <c r="B43" s="72">
        <v>0.3134</v>
      </c>
      <c r="C43" s="73">
        <v>41183</v>
      </c>
      <c r="D43" s="73">
        <v>41268</v>
      </c>
      <c r="O43" s="111">
        <f ca="1" t="shared" si="0"/>
        <v>0</v>
      </c>
    </row>
    <row r="44" spans="2:15" s="110" customFormat="1" ht="12.75">
      <c r="B44" s="72">
        <v>0.3134</v>
      </c>
      <c r="C44" s="73">
        <v>41269</v>
      </c>
      <c r="D44" s="73">
        <v>41274</v>
      </c>
      <c r="O44" s="111">
        <f ca="1" t="shared" si="0"/>
        <v>0</v>
      </c>
    </row>
    <row r="45" spans="2:15" s="110" customFormat="1" ht="12.75">
      <c r="B45" s="72">
        <v>0.3113</v>
      </c>
      <c r="C45" s="73">
        <v>41275</v>
      </c>
      <c r="D45" s="73">
        <v>41364</v>
      </c>
      <c r="O45" s="111">
        <f ca="1" t="shared" si="0"/>
        <v>0</v>
      </c>
    </row>
    <row r="46" spans="2:15" s="110" customFormat="1" ht="12.75">
      <c r="B46" s="72">
        <v>0.3125</v>
      </c>
      <c r="C46" s="73">
        <v>41365</v>
      </c>
      <c r="D46" s="73">
        <v>41455</v>
      </c>
      <c r="O46" s="111">
        <f ca="1" t="shared" si="0"/>
        <v>0</v>
      </c>
    </row>
    <row r="47" spans="2:15" s="110" customFormat="1" ht="12.75">
      <c r="B47" s="72">
        <v>0.3051</v>
      </c>
      <c r="C47" s="73">
        <v>41456</v>
      </c>
      <c r="D47" s="73">
        <v>41547</v>
      </c>
      <c r="O47" s="111">
        <f ca="1" t="shared" si="0"/>
        <v>0</v>
      </c>
    </row>
    <row r="48" spans="2:15" s="110" customFormat="1" ht="12.75">
      <c r="B48" s="72">
        <v>0.2978</v>
      </c>
      <c r="C48" s="73">
        <v>41548</v>
      </c>
      <c r="D48" s="73">
        <v>41639</v>
      </c>
      <c r="O48" s="111">
        <f ca="1" t="shared" si="0"/>
        <v>0</v>
      </c>
    </row>
    <row r="49" spans="2:15" s="110" customFormat="1" ht="12.75">
      <c r="B49" s="72">
        <v>0.2948</v>
      </c>
      <c r="C49" s="73">
        <v>41640</v>
      </c>
      <c r="D49" s="73">
        <v>41729</v>
      </c>
      <c r="O49" s="111">
        <f ca="1" t="shared" si="0"/>
        <v>0</v>
      </c>
    </row>
    <row r="50" spans="2:15" s="110" customFormat="1" ht="12.75">
      <c r="B50" s="72">
        <v>0.2945</v>
      </c>
      <c r="C50" s="73">
        <v>41730</v>
      </c>
      <c r="D50" s="73">
        <v>41820</v>
      </c>
      <c r="O50" s="111">
        <f ca="1" t="shared" si="0"/>
        <v>0</v>
      </c>
    </row>
    <row r="51" spans="2:15" s="110" customFormat="1" ht="12.75">
      <c r="B51" s="72">
        <v>0.29</v>
      </c>
      <c r="C51" s="73">
        <v>41821</v>
      </c>
      <c r="D51" s="73">
        <v>41912</v>
      </c>
      <c r="O51" s="111">
        <f ca="1" t="shared" si="0"/>
        <v>0</v>
      </c>
    </row>
    <row r="52" spans="2:15" s="110" customFormat="1" ht="12.75">
      <c r="B52" s="72">
        <v>0.2876</v>
      </c>
      <c r="C52" s="73">
        <v>41913</v>
      </c>
      <c r="D52" s="73">
        <v>42004</v>
      </c>
      <c r="O52" s="111">
        <f ca="1" t="shared" si="0"/>
        <v>0</v>
      </c>
    </row>
    <row r="53" spans="2:15" s="110" customFormat="1" ht="12.75">
      <c r="B53" s="72">
        <v>0.2882</v>
      </c>
      <c r="C53" s="73">
        <v>42005</v>
      </c>
      <c r="D53" s="73">
        <v>42094</v>
      </c>
      <c r="O53" s="111">
        <f ca="1" t="shared" si="0"/>
        <v>0</v>
      </c>
    </row>
    <row r="54" spans="2:15" s="110" customFormat="1" ht="12.75">
      <c r="B54" s="72">
        <v>0.2906</v>
      </c>
      <c r="C54" s="73">
        <v>42095</v>
      </c>
      <c r="D54" s="73">
        <v>42185</v>
      </c>
      <c r="O54" s="111">
        <f ca="1" t="shared" si="0"/>
        <v>0</v>
      </c>
    </row>
    <row r="55" spans="2:15" s="110" customFormat="1" ht="12.75">
      <c r="B55" s="74">
        <v>0.2889</v>
      </c>
      <c r="C55" s="73">
        <v>42186</v>
      </c>
      <c r="D55" s="73">
        <v>42277</v>
      </c>
      <c r="O55" s="111">
        <f ca="1" t="shared" si="0"/>
        <v>0</v>
      </c>
    </row>
    <row r="56" spans="2:15" s="110" customFormat="1" ht="12.75">
      <c r="B56" s="72">
        <v>0.29</v>
      </c>
      <c r="C56" s="73">
        <v>42278</v>
      </c>
      <c r="D56" s="73">
        <v>42369</v>
      </c>
      <c r="O56" s="111">
        <f ca="1" t="shared" si="0"/>
        <v>0</v>
      </c>
    </row>
    <row r="57" spans="2:15" s="110" customFormat="1" ht="12.75">
      <c r="B57" s="72">
        <v>0.2952</v>
      </c>
      <c r="C57" s="73">
        <v>42370</v>
      </c>
      <c r="D57" s="73">
        <v>42460</v>
      </c>
      <c r="O57" s="111">
        <f ca="1" t="shared" si="0"/>
        <v>0</v>
      </c>
    </row>
    <row r="58" spans="2:15" s="110" customFormat="1" ht="12" customHeight="1">
      <c r="B58" s="72">
        <v>0.3081</v>
      </c>
      <c r="C58" s="73">
        <v>42461</v>
      </c>
      <c r="D58" s="73">
        <v>42551</v>
      </c>
      <c r="O58" s="111">
        <f ca="1" t="shared" si="0"/>
        <v>0</v>
      </c>
    </row>
    <row r="59" spans="2:15" s="110" customFormat="1" ht="12.75">
      <c r="B59" s="72">
        <v>0.3201</v>
      </c>
      <c r="C59" s="73">
        <v>42552</v>
      </c>
      <c r="D59" s="73">
        <v>42643</v>
      </c>
      <c r="O59" s="111">
        <f ca="1" t="shared" si="0"/>
        <v>0</v>
      </c>
    </row>
    <row r="60" spans="2:15" s="110" customFormat="1" ht="12.75">
      <c r="B60" s="72">
        <v>0.3299</v>
      </c>
      <c r="C60" s="73">
        <v>42644</v>
      </c>
      <c r="D60" s="73">
        <v>42735</v>
      </c>
      <c r="O60" s="111">
        <f ca="1" t="shared" si="0"/>
        <v>0</v>
      </c>
    </row>
    <row r="61" spans="2:15" s="110" customFormat="1" ht="12.75">
      <c r="B61" s="72">
        <v>0.3151</v>
      </c>
      <c r="C61" s="73">
        <v>42736</v>
      </c>
      <c r="D61" s="73">
        <v>42825</v>
      </c>
      <c r="O61" s="111">
        <f ca="1" t="shared" si="0"/>
        <v>0</v>
      </c>
    </row>
    <row r="62" spans="2:15" s="110" customFormat="1" ht="12.75">
      <c r="B62" s="72">
        <v>0.315</v>
      </c>
      <c r="C62" s="73">
        <v>42826</v>
      </c>
      <c r="D62" s="73">
        <v>42916</v>
      </c>
      <c r="O62" s="111">
        <f ca="1" t="shared" si="0"/>
        <v>0</v>
      </c>
    </row>
    <row r="63" spans="2:15" s="110" customFormat="1" ht="12.75">
      <c r="B63" s="72">
        <v>0.3097</v>
      </c>
      <c r="C63" s="73">
        <v>42917</v>
      </c>
      <c r="D63" s="73">
        <v>42978</v>
      </c>
      <c r="O63" s="111">
        <f ca="1" t="shared" si="0"/>
        <v>0</v>
      </c>
    </row>
    <row r="64" spans="2:15" s="110" customFormat="1" ht="12.75">
      <c r="B64" s="72">
        <v>0.3022</v>
      </c>
      <c r="C64" s="73">
        <v>42979</v>
      </c>
      <c r="D64" s="73">
        <v>43008</v>
      </c>
      <c r="O64" s="111">
        <f ca="1" t="shared" si="0"/>
        <v>0</v>
      </c>
    </row>
    <row r="65" spans="2:15" ht="12.75">
      <c r="B65" s="72">
        <v>0.2973</v>
      </c>
      <c r="C65" s="73">
        <v>43009</v>
      </c>
      <c r="D65" s="73">
        <v>43039</v>
      </c>
      <c r="O65" s="111">
        <f ca="1">IF((TODAY()&gt;D65),0,1)</f>
        <v>0</v>
      </c>
    </row>
    <row r="66" spans="2:15" ht="12.75">
      <c r="B66" s="72">
        <v>0.2944</v>
      </c>
      <c r="C66" s="73">
        <v>43040</v>
      </c>
      <c r="D66" s="73">
        <v>43069</v>
      </c>
      <c r="O66" s="111">
        <f ca="1" t="shared" si="0"/>
        <v>0</v>
      </c>
    </row>
    <row r="67" spans="2:15" ht="12.75">
      <c r="B67" s="72">
        <v>0.2916</v>
      </c>
      <c r="C67" s="73">
        <v>43070</v>
      </c>
      <c r="D67" s="73">
        <v>43100</v>
      </c>
      <c r="O67" s="111">
        <f ca="1" t="shared" si="0"/>
        <v>0</v>
      </c>
    </row>
    <row r="68" spans="2:15" ht="12.75">
      <c r="B68" s="72">
        <v>0.2904</v>
      </c>
      <c r="C68" s="73">
        <v>43101</v>
      </c>
      <c r="D68" s="73">
        <v>43131</v>
      </c>
      <c r="O68" s="111">
        <f ca="1" t="shared" si="0"/>
        <v>0</v>
      </c>
    </row>
    <row r="69" spans="2:15" ht="12.75">
      <c r="B69" s="72">
        <v>0.2952</v>
      </c>
      <c r="C69" s="73">
        <v>43132</v>
      </c>
      <c r="D69" s="73">
        <v>43159</v>
      </c>
      <c r="O69" s="111">
        <f ca="1">IF((TODAY()&gt;D69),0,1)</f>
        <v>0</v>
      </c>
    </row>
    <row r="70" spans="2:15" ht="12.75">
      <c r="B70" s="72">
        <v>0.2902</v>
      </c>
      <c r="C70" s="73">
        <v>43160</v>
      </c>
      <c r="D70" s="73">
        <v>43190</v>
      </c>
      <c r="O70" s="111">
        <f ca="1" t="shared" si="0"/>
        <v>0</v>
      </c>
    </row>
    <row r="71" spans="2:15" ht="12.75">
      <c r="B71" s="72">
        <v>0.2872</v>
      </c>
      <c r="C71" s="73">
        <v>43191</v>
      </c>
      <c r="D71" s="73">
        <v>43220</v>
      </c>
      <c r="O71" s="111">
        <f ca="1" t="shared" si="0"/>
        <v>0</v>
      </c>
    </row>
    <row r="72" spans="2:15" ht="12.75">
      <c r="B72" s="72">
        <v>0.2866</v>
      </c>
      <c r="C72" s="73">
        <v>43221</v>
      </c>
      <c r="D72" s="73">
        <v>43251</v>
      </c>
      <c r="O72" s="111">
        <f ca="1" t="shared" si="0"/>
        <v>0</v>
      </c>
    </row>
    <row r="73" spans="2:15" ht="12.75">
      <c r="B73" s="72">
        <v>0.2842</v>
      </c>
      <c r="C73" s="73">
        <v>43252</v>
      </c>
      <c r="D73" s="73">
        <v>43281</v>
      </c>
      <c r="O73" s="111">
        <f ca="1" t="shared" si="0"/>
        <v>0</v>
      </c>
    </row>
    <row r="74" spans="2:15" ht="12.75">
      <c r="B74" s="72">
        <v>0.2805</v>
      </c>
      <c r="C74" s="73">
        <v>43282</v>
      </c>
      <c r="D74" s="73">
        <v>43312</v>
      </c>
      <c r="O74" s="111">
        <f ca="1" t="shared" si="0"/>
        <v>0</v>
      </c>
    </row>
    <row r="75" spans="2:15" ht="12.75">
      <c r="B75" s="72">
        <v>0.2791</v>
      </c>
      <c r="C75" s="73">
        <v>43313</v>
      </c>
      <c r="D75" s="73">
        <v>43343</v>
      </c>
      <c r="O75" s="111">
        <f ca="1" t="shared" si="0"/>
        <v>0</v>
      </c>
    </row>
    <row r="76" spans="2:15" ht="12.75">
      <c r="B76" s="72">
        <v>0.2772</v>
      </c>
      <c r="C76" s="73">
        <v>43344</v>
      </c>
      <c r="D76" s="73">
        <v>43373</v>
      </c>
      <c r="O76" s="111">
        <f ca="1" t="shared" si="0"/>
        <v>0</v>
      </c>
    </row>
    <row r="77" spans="2:15" ht="12.75">
      <c r="B77" s="72">
        <v>0.2745</v>
      </c>
      <c r="C77" s="73">
        <v>43374</v>
      </c>
      <c r="D77" s="73">
        <v>43404</v>
      </c>
      <c r="O77" s="111">
        <f ca="1" t="shared" si="0"/>
        <v>0</v>
      </c>
    </row>
    <row r="78" spans="2:15" ht="12.75">
      <c r="B78" s="72">
        <v>0.2724</v>
      </c>
      <c r="C78" s="73">
        <v>43405</v>
      </c>
      <c r="D78" s="73">
        <v>43434</v>
      </c>
      <c r="O78" s="111">
        <f ca="1">IF((TODAY()&gt;D78),0,1)</f>
        <v>0</v>
      </c>
    </row>
    <row r="79" spans="2:15" ht="12.75">
      <c r="B79" s="72">
        <v>0.271</v>
      </c>
      <c r="C79" s="73">
        <v>43435</v>
      </c>
      <c r="D79" s="73">
        <v>43465</v>
      </c>
      <c r="O79" s="111">
        <f ca="1">IF((TODAY()&gt;D79),0,1)</f>
        <v>0</v>
      </c>
    </row>
    <row r="80" spans="2:15" ht="12.75">
      <c r="B80" s="72">
        <v>0.2674</v>
      </c>
      <c r="C80" s="73">
        <v>43466</v>
      </c>
      <c r="D80" s="73">
        <v>43496</v>
      </c>
      <c r="O80" s="111">
        <f ca="1">IF((TODAY()&gt;D80),0,1)</f>
        <v>0</v>
      </c>
    </row>
    <row r="81" spans="2:15" ht="12.75">
      <c r="B81" s="72">
        <v>0.2755</v>
      </c>
      <c r="C81" s="73">
        <v>43497</v>
      </c>
      <c r="D81" s="73">
        <v>43524</v>
      </c>
      <c r="O81" s="111">
        <f aca="true" ca="1" t="shared" si="1" ref="O81:O92">IF((TODAY()&gt;D81),0,1)</f>
        <v>0</v>
      </c>
    </row>
    <row r="82" spans="2:15" ht="12.75">
      <c r="B82" s="72">
        <v>0.2706</v>
      </c>
      <c r="C82" s="73">
        <v>43525</v>
      </c>
      <c r="D82" s="73">
        <v>43555</v>
      </c>
      <c r="O82" s="111">
        <f ca="1" t="shared" si="1"/>
        <v>0</v>
      </c>
    </row>
    <row r="83" spans="2:15" ht="12.75">
      <c r="B83" s="72">
        <v>0.2698</v>
      </c>
      <c r="C83" s="73">
        <v>43556</v>
      </c>
      <c r="D83" s="73">
        <v>43585</v>
      </c>
      <c r="O83" s="111">
        <f ca="1" t="shared" si="1"/>
        <v>0</v>
      </c>
    </row>
    <row r="84" spans="2:15" ht="12.75">
      <c r="B84" s="72">
        <v>0.2701</v>
      </c>
      <c r="C84" s="73">
        <v>43586</v>
      </c>
      <c r="D84" s="73">
        <v>43616</v>
      </c>
      <c r="O84" s="111">
        <f ca="1" t="shared" si="1"/>
        <v>0</v>
      </c>
    </row>
    <row r="85" spans="2:15" ht="12.75">
      <c r="B85" s="72">
        <v>0.2695</v>
      </c>
      <c r="C85" s="73">
        <v>43617</v>
      </c>
      <c r="D85" s="73">
        <v>43646</v>
      </c>
      <c r="O85" s="111">
        <f ca="1" t="shared" si="1"/>
        <v>1</v>
      </c>
    </row>
    <row r="86" spans="2:15" ht="12.75">
      <c r="B86" s="72"/>
      <c r="C86" s="73"/>
      <c r="D86" s="73"/>
      <c r="O86" s="111">
        <f ca="1" t="shared" si="1"/>
        <v>0</v>
      </c>
    </row>
    <row r="87" spans="2:15" ht="12.75">
      <c r="B87" s="72"/>
      <c r="C87" s="73"/>
      <c r="D87" s="73"/>
      <c r="O87" s="111">
        <f ca="1" t="shared" si="1"/>
        <v>0</v>
      </c>
    </row>
    <row r="88" spans="2:15" ht="12.75">
      <c r="B88" s="72"/>
      <c r="C88" s="73"/>
      <c r="D88" s="73"/>
      <c r="O88" s="111">
        <f ca="1" t="shared" si="1"/>
        <v>0</v>
      </c>
    </row>
    <row r="89" spans="2:15" ht="12.75">
      <c r="B89" s="72"/>
      <c r="C89" s="73"/>
      <c r="D89" s="73"/>
      <c r="O89" s="111">
        <f ca="1" t="shared" si="1"/>
        <v>0</v>
      </c>
    </row>
    <row r="90" ht="12.75">
      <c r="O90" s="111">
        <f ca="1" t="shared" si="1"/>
        <v>0</v>
      </c>
    </row>
    <row r="91" ht="12.75">
      <c r="O91" s="111">
        <f ca="1" t="shared" si="1"/>
        <v>0</v>
      </c>
    </row>
    <row r="92" ht="12.75">
      <c r="O92" s="111">
        <f ca="1" t="shared" si="1"/>
        <v>0</v>
      </c>
    </row>
    <row r="93" ht="12.75">
      <c r="O93" s="62">
        <f>SUM(O14:IV92)</f>
        <v>1</v>
      </c>
    </row>
  </sheetData>
  <sheetProtection password="C927" sheet="1"/>
  <mergeCells count="2">
    <mergeCell ref="B5:H7"/>
    <mergeCell ref="F13:G23"/>
  </mergeCells>
  <conditionalFormatting sqref="B50:B53 B55:B61">
    <cfRule type="cellIs" priority="19" dxfId="0" operator="equal" stopIfTrue="1">
      <formula>0</formula>
    </cfRule>
  </conditionalFormatting>
  <conditionalFormatting sqref="B23:B43 B45:B61">
    <cfRule type="cellIs" priority="18" dxfId="0" operator="equal" stopIfTrue="1">
      <formula>0</formula>
    </cfRule>
  </conditionalFormatting>
  <conditionalFormatting sqref="B44">
    <cfRule type="cellIs" priority="17" dxfId="0" operator="equal" stopIfTrue="1">
      <formula>0</formula>
    </cfRule>
  </conditionalFormatting>
  <conditionalFormatting sqref="B53:B61">
    <cfRule type="cellIs" priority="16" dxfId="0" operator="equal" stopIfTrue="1">
      <formula>0</formula>
    </cfRule>
  </conditionalFormatting>
  <conditionalFormatting sqref="B62">
    <cfRule type="cellIs" priority="15" dxfId="0" operator="equal" stopIfTrue="1">
      <formula>0</formula>
    </cfRule>
  </conditionalFormatting>
  <conditionalFormatting sqref="B62">
    <cfRule type="cellIs" priority="14" dxfId="0" operator="equal" stopIfTrue="1">
      <formula>0</formula>
    </cfRule>
  </conditionalFormatting>
  <conditionalFormatting sqref="B62">
    <cfRule type="cellIs" priority="13" dxfId="0" operator="equal" stopIfTrue="1">
      <formula>0</formula>
    </cfRule>
  </conditionalFormatting>
  <conditionalFormatting sqref="B63:B64">
    <cfRule type="cellIs" priority="12" dxfId="0" operator="equal" stopIfTrue="1">
      <formula>0</formula>
    </cfRule>
  </conditionalFormatting>
  <conditionalFormatting sqref="B63:B64">
    <cfRule type="cellIs" priority="11" dxfId="0" operator="equal" stopIfTrue="1">
      <formula>0</formula>
    </cfRule>
  </conditionalFormatting>
  <conditionalFormatting sqref="B63:B64">
    <cfRule type="cellIs" priority="10" dxfId="0" operator="equal" stopIfTrue="1">
      <formula>0</formula>
    </cfRule>
  </conditionalFormatting>
  <conditionalFormatting sqref="B65:B79">
    <cfRule type="cellIs" priority="9" dxfId="0" operator="equal" stopIfTrue="1">
      <formula>0</formula>
    </cfRule>
  </conditionalFormatting>
  <conditionalFormatting sqref="B65:B79">
    <cfRule type="cellIs" priority="8" dxfId="0" operator="equal" stopIfTrue="1">
      <formula>0</formula>
    </cfRule>
  </conditionalFormatting>
  <conditionalFormatting sqref="B65:B79">
    <cfRule type="cellIs" priority="7" dxfId="0" operator="equal" stopIfTrue="1">
      <formula>0</formula>
    </cfRule>
  </conditionalFormatting>
  <conditionalFormatting sqref="B80:B83">
    <cfRule type="cellIs" priority="6" dxfId="0" operator="equal" stopIfTrue="1">
      <formula>0</formula>
    </cfRule>
  </conditionalFormatting>
  <conditionalFormatting sqref="B80:B83">
    <cfRule type="cellIs" priority="5" dxfId="0" operator="equal" stopIfTrue="1">
      <formula>0</formula>
    </cfRule>
  </conditionalFormatting>
  <conditionalFormatting sqref="B80:B83">
    <cfRule type="cellIs" priority="4" dxfId="0" operator="equal" stopIfTrue="1">
      <formula>0</formula>
    </cfRule>
  </conditionalFormatting>
  <conditionalFormatting sqref="B84:B89">
    <cfRule type="cellIs" priority="3" dxfId="0" operator="equal" stopIfTrue="1">
      <formula>0</formula>
    </cfRule>
  </conditionalFormatting>
  <conditionalFormatting sqref="B84:B89">
    <cfRule type="cellIs" priority="2" dxfId="0" operator="equal" stopIfTrue="1">
      <formula>0</formula>
    </cfRule>
  </conditionalFormatting>
  <conditionalFormatting sqref="B84:B89">
    <cfRule type="cellIs" priority="1" dxfId="0" operator="equal" stopIfTrue="1">
      <formula>0</formula>
    </cfRule>
  </conditionalFormatting>
  <dataValidations count="3">
    <dataValidation type="date" allowBlank="1" showInputMessage="1" showErrorMessage="1" errorTitle="FECHA " error="FORMATO DE FECHA DD/MM/AAAA" sqref="D13">
      <formula1>1</formula1>
      <formula2>42369</formula2>
    </dataValidation>
    <dataValidation type="whole" allowBlank="1" showInputMessage="1" showErrorMessage="1" errorTitle="INGRESE EL VALOR INSOLUTO" error="SOLO NUMEROS ENTEROS POSITIVOS" sqref="C13">
      <formula1>1</formula1>
      <formula2>100000000000000</formula2>
    </dataValidation>
    <dataValidation type="date" allowBlank="1" showInputMessage="1" showErrorMessage="1" prompt="DIGITE  dd-mm-aa" error="Este no es formato de fecha" sqref="C14:D64">
      <formula1>36526</formula1>
      <formula2>66111</formula2>
    </dataValidation>
  </dataValidations>
  <hyperlinks>
    <hyperlink ref="B10" r:id="rId1" display="https://www.superfinanciera.gov.co/jsp/loader.jsf?lServicio=Publicaciones&amp;lTipo=publicaciones&amp;lFuncion=loadContenidoPublicacion&amp;id=10829&amp;reAncha=1"/>
  </hyperlinks>
  <printOptions/>
  <pageMargins left="0.75" right="0.75" top="1" bottom="1" header="0" footer="0"/>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codeName="Hoja2"/>
  <dimension ref="A2:O146"/>
  <sheetViews>
    <sheetView showGridLines="0" defaultGridColor="0" zoomScalePageLayoutView="0" colorId="53" workbookViewId="0" topLeftCell="A1">
      <pane xSplit="1" ySplit="9" topLeftCell="B10" activePane="bottomRight" state="frozen"/>
      <selection pane="topLeft" activeCell="A1" sqref="A1"/>
      <selection pane="topRight" activeCell="B1" sqref="B1"/>
      <selection pane="bottomLeft" activeCell="A10" sqref="A10"/>
      <selection pane="bottomRight" activeCell="M4" sqref="M4"/>
    </sheetView>
  </sheetViews>
  <sheetFormatPr defaultColWidth="11.421875" defaultRowHeight="12.75"/>
  <cols>
    <col min="1" max="1" width="2.57421875" style="4" customWidth="1"/>
    <col min="2" max="2" width="15.8515625" style="4" customWidth="1"/>
    <col min="3" max="3" width="15.8515625" style="5" customWidth="1"/>
    <col min="4" max="4" width="12.8515625" style="5" hidden="1" customWidth="1"/>
    <col min="5" max="5" width="15.140625" style="6" customWidth="1"/>
    <col min="6" max="6" width="14.28125" style="6" customWidth="1"/>
    <col min="7" max="7" width="14.421875" style="4" customWidth="1"/>
    <col min="8" max="8" width="14.00390625" style="4" customWidth="1"/>
    <col min="9" max="9" width="14.421875" style="4" bestFit="1" customWidth="1"/>
    <col min="10" max="10" width="9.7109375" style="4" customWidth="1"/>
    <col min="11" max="11" width="3.140625" style="4" customWidth="1"/>
    <col min="12" max="12" width="11.421875" style="4" customWidth="1"/>
    <col min="13" max="13" width="15.421875" style="4" bestFit="1" customWidth="1"/>
    <col min="14" max="14" width="14.7109375" style="4" customWidth="1"/>
    <col min="15" max="15" width="16.28125" style="4" customWidth="1"/>
    <col min="16" max="16384" width="11.421875" style="4" customWidth="1"/>
  </cols>
  <sheetData>
    <row r="1" ht="15" customHeight="1"/>
    <row r="2" spans="6:11" ht="37.5" customHeight="1">
      <c r="F2" s="48"/>
      <c r="K2" s="33"/>
    </row>
    <row r="3" ht="8.25" customHeight="1" thickBot="1">
      <c r="K3" s="33"/>
    </row>
    <row r="4" spans="2:11" s="3" customFormat="1" ht="27.75" customHeight="1" thickBot="1">
      <c r="B4" s="19" t="s">
        <v>18</v>
      </c>
      <c r="C4" s="20" t="s">
        <v>3</v>
      </c>
      <c r="D4" s="21"/>
      <c r="E4" s="20" t="s">
        <v>4</v>
      </c>
      <c r="F4" s="20" t="s">
        <v>8</v>
      </c>
      <c r="G4" s="22"/>
      <c r="H4" s="20" t="s">
        <v>9</v>
      </c>
      <c r="I4" s="10"/>
      <c r="J4" s="10"/>
      <c r="K4" s="33"/>
    </row>
    <row r="5" spans="2:11" ht="13.5" thickBot="1">
      <c r="B5" s="23">
        <f>+MENU!C15</f>
        <v>10000000</v>
      </c>
      <c r="C5" s="24">
        <f>+MENU!C16</f>
        <v>43205</v>
      </c>
      <c r="D5" s="25"/>
      <c r="E5" s="26">
        <f>+MENU!C17</f>
        <v>43643</v>
      </c>
      <c r="F5" s="27">
        <f>+E5-C5</f>
        <v>438</v>
      </c>
      <c r="G5" s="27"/>
      <c r="H5" s="28">
        <f>ROUND(H88,-3)</f>
        <v>3303000</v>
      </c>
      <c r="I5" s="5"/>
      <c r="J5" s="5"/>
      <c r="K5" s="33"/>
    </row>
    <row r="6" spans="2:11" ht="4.5" customHeight="1">
      <c r="B6" s="29"/>
      <c r="C6" s="30"/>
      <c r="D6" s="30"/>
      <c r="E6" s="30"/>
      <c r="F6" s="30"/>
      <c r="G6" s="31"/>
      <c r="H6" s="31"/>
      <c r="I6" s="32"/>
      <c r="J6" s="32"/>
      <c r="K6" s="33"/>
    </row>
    <row r="7" spans="2:11" ht="13.5" thickBot="1">
      <c r="B7" s="46" t="str">
        <f>+MENU!C13</f>
        <v>RENTA</v>
      </c>
      <c r="C7" s="47" t="str">
        <f>+MENU!C14</f>
        <v>2018</v>
      </c>
      <c r="D7" s="45"/>
      <c r="E7" s="134" t="str">
        <f>+MENU!C12</f>
        <v>EMPRESA DE EJEMPLO</v>
      </c>
      <c r="F7" s="134"/>
      <c r="G7" s="134"/>
      <c r="H7" s="134"/>
      <c r="I7" s="134"/>
      <c r="J7" s="134"/>
      <c r="K7" s="33"/>
    </row>
    <row r="8" spans="2:11" ht="12.75">
      <c r="B8" s="132" t="s">
        <v>16</v>
      </c>
      <c r="C8" s="133"/>
      <c r="D8" s="133"/>
      <c r="E8" s="135" t="s">
        <v>15</v>
      </c>
      <c r="F8" s="135"/>
      <c r="G8" s="135"/>
      <c r="H8" s="135"/>
      <c r="I8" s="135"/>
      <c r="J8" s="136"/>
      <c r="K8" s="33"/>
    </row>
    <row r="9" spans="2:15" ht="25.5">
      <c r="B9" s="37" t="s">
        <v>21</v>
      </c>
      <c r="C9" s="38" t="s">
        <v>1</v>
      </c>
      <c r="D9" s="38" t="s">
        <v>2</v>
      </c>
      <c r="E9" s="38" t="s">
        <v>2</v>
      </c>
      <c r="F9" s="38" t="s">
        <v>28</v>
      </c>
      <c r="G9" s="38" t="s">
        <v>8</v>
      </c>
      <c r="H9" s="38" t="s">
        <v>10</v>
      </c>
      <c r="I9" s="38" t="s">
        <v>11</v>
      </c>
      <c r="J9" s="39" t="s">
        <v>12</v>
      </c>
      <c r="K9" s="33"/>
      <c r="L9" s="4" t="s">
        <v>43</v>
      </c>
      <c r="M9" s="142" t="s">
        <v>47</v>
      </c>
      <c r="N9" s="141" t="s">
        <v>48</v>
      </c>
      <c r="O9" s="39" t="s">
        <v>42</v>
      </c>
    </row>
    <row r="10" spans="2:15" ht="12.75">
      <c r="B10" s="64">
        <f>IF((Tasas!B14&gt;1%),(Tasas!B14),(0%))</f>
        <v>0.2063</v>
      </c>
      <c r="C10" s="65">
        <f>+IF((C5&lt;D10),(C5),(""))</f>
      </c>
      <c r="D10" s="66">
        <f>IF((Tasas!D14=("")),(""),Tasas!D14)</f>
        <v>38926</v>
      </c>
      <c r="E10" s="67">
        <f>IF((C10=""),1101,(IF($E$5&lt;D10,$E$5,D10)))</f>
        <v>1101</v>
      </c>
      <c r="F10" s="68">
        <f>B10/365</f>
        <v>0.0005652054794520548</v>
      </c>
      <c r="G10" s="40">
        <f>IF($C$5&gt;E10,0,E10-$C$5)</f>
        <v>0</v>
      </c>
      <c r="H10" s="41">
        <f>+ROUND((B5*F10*G10),-3)</f>
        <v>0</v>
      </c>
      <c r="I10" s="41">
        <f>+B5+H10</f>
        <v>10000000</v>
      </c>
      <c r="J10" s="42">
        <f>+G10</f>
        <v>0</v>
      </c>
      <c r="K10" s="69"/>
      <c r="L10" s="119">
        <v>21.3</v>
      </c>
      <c r="M10" s="118">
        <f aca="true" t="shared" si="0" ref="M10:M48">$B$5*(((1+(L10/100))^(J10/365))-1)</f>
        <v>0</v>
      </c>
      <c r="N10" s="90">
        <f>+SUM($H$10:H10)</f>
        <v>0</v>
      </c>
      <c r="O10" s="120">
        <f aca="true" t="shared" si="1" ref="O10:O49">+N10-M10</f>
        <v>0</v>
      </c>
    </row>
    <row r="11" spans="2:15" ht="12.75">
      <c r="B11" s="64">
        <f>IF((Tasas!B15&gt;1%),(Tasas!B15),(0%))</f>
        <v>0.2262</v>
      </c>
      <c r="C11" s="65">
        <f>IF((Tasas!C15=("")),(""),Tasas!C15)</f>
        <v>38927</v>
      </c>
      <c r="D11" s="66">
        <f>IF((Tasas!D15=("")),(""),Tasas!D15)</f>
        <v>38929</v>
      </c>
      <c r="E11" s="67">
        <f>IF((C11=""),1101,(IF($E$5&lt;D11,$E$5,D11)))</f>
        <v>38929</v>
      </c>
      <c r="F11" s="68">
        <f aca="true" t="shared" si="2" ref="F11:F44">+B11/366</f>
        <v>0.0006180327868852459</v>
      </c>
      <c r="G11" s="40">
        <f>IF($C$5&gt;E11,0,E11-$C$5-J10)</f>
        <v>0</v>
      </c>
      <c r="H11" s="41">
        <f>+ROUND(($B$5*F11*G11),-3)</f>
        <v>0</v>
      </c>
      <c r="I11" s="41">
        <f>+I10+H11</f>
        <v>10000000</v>
      </c>
      <c r="J11" s="42">
        <f>+IF(G11=(""),(""),(G11+J10))</f>
        <v>0</v>
      </c>
      <c r="K11" s="69"/>
      <c r="L11" s="121">
        <f>+L10</f>
        <v>21.3</v>
      </c>
      <c r="M11" s="118">
        <f t="shared" si="0"/>
        <v>0</v>
      </c>
      <c r="N11" s="90">
        <f>+SUM($H$10:H11)</f>
        <v>0</v>
      </c>
      <c r="O11" s="120">
        <f t="shared" si="1"/>
        <v>0</v>
      </c>
    </row>
    <row r="12" spans="2:15" ht="12.75">
      <c r="B12" s="64">
        <f>IF((Tasas!B16&gt;1%),(Tasas!B16),(0%))</f>
        <v>0.2253</v>
      </c>
      <c r="C12" s="65">
        <f>IF((Tasas!C16=("")),(""),Tasas!C16)</f>
        <v>38930</v>
      </c>
      <c r="D12" s="66">
        <f>IF((Tasas!D16=("")),(""),Tasas!D16)</f>
        <v>38960</v>
      </c>
      <c r="E12" s="67">
        <f>IF((C12=""),1101,(IF($E$5&lt;D12,$E$5,D12)))</f>
        <v>38960</v>
      </c>
      <c r="F12" s="68">
        <f t="shared" si="2"/>
        <v>0.0006155737704918033</v>
      </c>
      <c r="G12" s="40">
        <f>IF($C$5&gt;E12,0,E12-$C$5-J11)</f>
        <v>0</v>
      </c>
      <c r="H12" s="41">
        <f>+ROUND(($B$5*F12*G12),-3)</f>
        <v>0</v>
      </c>
      <c r="I12" s="41">
        <f>+I11+H12</f>
        <v>10000000</v>
      </c>
      <c r="J12" s="42">
        <f aca="true" t="shared" si="3" ref="J12:J47">+IF(G12=(""),(""),(G12+J11))</f>
        <v>0</v>
      </c>
      <c r="K12" s="69"/>
      <c r="L12" s="121">
        <f aca="true" t="shared" si="4" ref="L12:L75">+L11</f>
        <v>21.3</v>
      </c>
      <c r="M12" s="118">
        <f t="shared" si="0"/>
        <v>0</v>
      </c>
      <c r="N12" s="90">
        <f>+SUM($H$10:H12)</f>
        <v>0</v>
      </c>
      <c r="O12" s="120">
        <f t="shared" si="1"/>
        <v>0</v>
      </c>
    </row>
    <row r="13" spans="2:15" ht="12.75">
      <c r="B13" s="64">
        <f>IF((Tasas!B17&gt;1%),(Tasas!B17),(0%))</f>
        <v>0.2258</v>
      </c>
      <c r="C13" s="65">
        <f>IF((Tasas!C17=("")),(""),Tasas!C17)</f>
        <v>38961</v>
      </c>
      <c r="D13" s="66">
        <f>IF((Tasas!D17=("")),(""),Tasas!D17)</f>
        <v>38990</v>
      </c>
      <c r="E13" s="67">
        <f aca="true" t="shared" si="5" ref="E13:E44">IF((C13=""),1101,(IF($E$5&lt;D13,$E$5,D13)))</f>
        <v>38990</v>
      </c>
      <c r="F13" s="68">
        <f t="shared" si="2"/>
        <v>0.0006169398907103826</v>
      </c>
      <c r="G13" s="40">
        <f>IF($C$5&gt;E13,0,E13-$C$5-J12)</f>
        <v>0</v>
      </c>
      <c r="H13" s="41">
        <f>+ROUND(($B$5*F13*G13),-3)</f>
        <v>0</v>
      </c>
      <c r="I13" s="41">
        <f aca="true" t="shared" si="6" ref="I13:I49">+I12+H13</f>
        <v>10000000</v>
      </c>
      <c r="J13" s="42">
        <f t="shared" si="3"/>
        <v>0</v>
      </c>
      <c r="K13" s="69"/>
      <c r="L13" s="121">
        <f t="shared" si="4"/>
        <v>21.3</v>
      </c>
      <c r="M13" s="118">
        <f t="shared" si="0"/>
        <v>0</v>
      </c>
      <c r="N13" s="90">
        <f>+SUM($H$10:H13)</f>
        <v>0</v>
      </c>
      <c r="O13" s="120">
        <f t="shared" si="1"/>
        <v>0</v>
      </c>
    </row>
    <row r="14" spans="2:15" ht="12.75">
      <c r="B14" s="64">
        <f>IF((Tasas!B18&gt;1%),(Tasas!B18),(0%))</f>
        <v>0.2261</v>
      </c>
      <c r="C14" s="65">
        <f>IF((Tasas!C18=("")),(""),Tasas!C18)</f>
        <v>38991</v>
      </c>
      <c r="D14" s="66">
        <f>IF((Tasas!D18=("")),(""),Tasas!D18)</f>
        <v>39082</v>
      </c>
      <c r="E14" s="67">
        <f t="shared" si="5"/>
        <v>39082</v>
      </c>
      <c r="F14" s="68">
        <f t="shared" si="2"/>
        <v>0.0006177595628415301</v>
      </c>
      <c r="G14" s="40">
        <f>IF($C$5&gt;E14,0,E14-$C$5-J13)</f>
        <v>0</v>
      </c>
      <c r="H14" s="41">
        <f aca="true" t="shared" si="7" ref="H14:H47">+ROUND(($B$5*F14*G14),-3)</f>
        <v>0</v>
      </c>
      <c r="I14" s="41">
        <f t="shared" si="6"/>
        <v>10000000</v>
      </c>
      <c r="J14" s="42">
        <f t="shared" si="3"/>
        <v>0</v>
      </c>
      <c r="K14" s="69"/>
      <c r="L14" s="121">
        <f t="shared" si="4"/>
        <v>21.3</v>
      </c>
      <c r="M14" s="118">
        <f t="shared" si="0"/>
        <v>0</v>
      </c>
      <c r="N14" s="90">
        <f>+SUM($H$10:H14)</f>
        <v>0</v>
      </c>
      <c r="O14" s="120">
        <f t="shared" si="1"/>
        <v>0</v>
      </c>
    </row>
    <row r="15" spans="2:15" ht="12.75">
      <c r="B15" s="64">
        <f>IF((Tasas!B19&gt;1%),(Tasas!B19),(0%))</f>
        <v>0.3209</v>
      </c>
      <c r="C15" s="65">
        <f>IF((Tasas!C19=("")),(""),Tasas!C19)</f>
        <v>39083</v>
      </c>
      <c r="D15" s="66">
        <f>IF((Tasas!D19=("")),(""),Tasas!D19)</f>
        <v>39138</v>
      </c>
      <c r="E15" s="67">
        <f t="shared" si="5"/>
        <v>39138</v>
      </c>
      <c r="F15" s="68">
        <f t="shared" si="2"/>
        <v>0.0008767759562841531</v>
      </c>
      <c r="G15" s="40">
        <f aca="true" t="shared" si="8" ref="G15:G47">IF($C$5&gt;E15,0,E15-$C$5-J14)</f>
        <v>0</v>
      </c>
      <c r="H15" s="41">
        <f t="shared" si="7"/>
        <v>0</v>
      </c>
      <c r="I15" s="41">
        <f>+I14+H15</f>
        <v>10000000</v>
      </c>
      <c r="J15" s="42">
        <f t="shared" si="3"/>
        <v>0</v>
      </c>
      <c r="K15" s="69"/>
      <c r="L15" s="121">
        <f t="shared" si="4"/>
        <v>21.3</v>
      </c>
      <c r="M15" s="118">
        <f t="shared" si="0"/>
        <v>0</v>
      </c>
      <c r="N15" s="90">
        <f>+SUM($H$10:H15)</f>
        <v>0</v>
      </c>
      <c r="O15" s="120">
        <f t="shared" si="1"/>
        <v>0</v>
      </c>
    </row>
    <row r="16" spans="2:15" ht="12.75">
      <c r="B16" s="64">
        <f>IF((Tasas!B20&gt;1%),(Tasas!B20),(0%))</f>
        <v>0.2075</v>
      </c>
      <c r="C16" s="65">
        <f>IF((Tasas!C20=("")),(""),Tasas!C20)</f>
        <v>39139</v>
      </c>
      <c r="D16" s="66">
        <f>IF((Tasas!D20=("")),(""),Tasas!D20)</f>
        <v>39172</v>
      </c>
      <c r="E16" s="67">
        <f t="shared" si="5"/>
        <v>39172</v>
      </c>
      <c r="F16" s="68">
        <f t="shared" si="2"/>
        <v>0.0005669398907103825</v>
      </c>
      <c r="G16" s="40">
        <f t="shared" si="8"/>
        <v>0</v>
      </c>
      <c r="H16" s="41">
        <f t="shared" si="7"/>
        <v>0</v>
      </c>
      <c r="I16" s="41">
        <f>+I15+H16</f>
        <v>10000000</v>
      </c>
      <c r="J16" s="42">
        <f t="shared" si="3"/>
        <v>0</v>
      </c>
      <c r="K16" s="69"/>
      <c r="L16" s="121">
        <f t="shared" si="4"/>
        <v>21.3</v>
      </c>
      <c r="M16" s="118">
        <f t="shared" si="0"/>
        <v>0</v>
      </c>
      <c r="N16" s="90">
        <f>+SUM($H$10:H16)</f>
        <v>0</v>
      </c>
      <c r="O16" s="120">
        <f t="shared" si="1"/>
        <v>0</v>
      </c>
    </row>
    <row r="17" spans="2:15" ht="12.75">
      <c r="B17" s="64">
        <f>IF((Tasas!B21&gt;1%),(Tasas!B21),(0%))</f>
        <v>0.2512</v>
      </c>
      <c r="C17" s="65">
        <f>IF((Tasas!C21=("")),(""),Tasas!C21)</f>
        <v>39173</v>
      </c>
      <c r="D17" s="66">
        <f>IF((Tasas!D21=("")),(""),Tasas!D21)</f>
        <v>39263</v>
      </c>
      <c r="E17" s="67">
        <f t="shared" si="5"/>
        <v>39263</v>
      </c>
      <c r="F17" s="68">
        <f t="shared" si="2"/>
        <v>0.0006863387978142076</v>
      </c>
      <c r="G17" s="40">
        <f t="shared" si="8"/>
        <v>0</v>
      </c>
      <c r="H17" s="41">
        <f t="shared" si="7"/>
        <v>0</v>
      </c>
      <c r="I17" s="41">
        <f>+I16+H17</f>
        <v>10000000</v>
      </c>
      <c r="J17" s="42">
        <f t="shared" si="3"/>
        <v>0</v>
      </c>
      <c r="K17" s="69"/>
      <c r="L17" s="121">
        <f t="shared" si="4"/>
        <v>21.3</v>
      </c>
      <c r="M17" s="118">
        <f t="shared" si="0"/>
        <v>0</v>
      </c>
      <c r="N17" s="90">
        <f>+SUM($H$10:H17)</f>
        <v>0</v>
      </c>
      <c r="O17" s="120">
        <f t="shared" si="1"/>
        <v>0</v>
      </c>
    </row>
    <row r="18" spans="2:15" ht="12.75">
      <c r="B18" s="64">
        <f>IF((Tasas!B22&gt;1%),(Tasas!B22),(0%))</f>
        <v>0.2851</v>
      </c>
      <c r="C18" s="65">
        <f>IF((Tasas!C22=("")),(""),Tasas!C22)</f>
        <v>39264</v>
      </c>
      <c r="D18" s="66">
        <f>IF((Tasas!D22=("")),(""),Tasas!D22)</f>
        <v>39355</v>
      </c>
      <c r="E18" s="67">
        <f t="shared" si="5"/>
        <v>39355</v>
      </c>
      <c r="F18" s="68">
        <f t="shared" si="2"/>
        <v>0.0007789617486338798</v>
      </c>
      <c r="G18" s="40">
        <f t="shared" si="8"/>
        <v>0</v>
      </c>
      <c r="H18" s="41">
        <f t="shared" si="7"/>
        <v>0</v>
      </c>
      <c r="I18" s="41">
        <f>+I17+H18</f>
        <v>10000000</v>
      </c>
      <c r="J18" s="42">
        <f t="shared" si="3"/>
        <v>0</v>
      </c>
      <c r="K18" s="69"/>
      <c r="L18" s="121">
        <f t="shared" si="4"/>
        <v>21.3</v>
      </c>
      <c r="M18" s="118">
        <f t="shared" si="0"/>
        <v>0</v>
      </c>
      <c r="N18" s="90">
        <f>+SUM($H$10:H18)</f>
        <v>0</v>
      </c>
      <c r="O18" s="120">
        <f t="shared" si="1"/>
        <v>0</v>
      </c>
    </row>
    <row r="19" spans="2:15" ht="12.75">
      <c r="B19" s="64">
        <f>IF((Tasas!B23&gt;1%),(Tasas!B23),(0%))</f>
        <v>0.3189</v>
      </c>
      <c r="C19" s="65">
        <f>IF((Tasas!C23=("")),(""),Tasas!C23)</f>
        <v>39356</v>
      </c>
      <c r="D19" s="66">
        <f>IF((Tasas!D23=("")),(""),Tasas!D23)</f>
        <v>39447</v>
      </c>
      <c r="E19" s="67">
        <f t="shared" si="5"/>
        <v>39447</v>
      </c>
      <c r="F19" s="68">
        <f t="shared" si="2"/>
        <v>0.0008713114754098361</v>
      </c>
      <c r="G19" s="40">
        <f t="shared" si="8"/>
        <v>0</v>
      </c>
      <c r="H19" s="41">
        <f t="shared" si="7"/>
        <v>0</v>
      </c>
      <c r="I19" s="41">
        <f t="shared" si="6"/>
        <v>10000000</v>
      </c>
      <c r="J19" s="42">
        <f>+IF(G19=(""),(""),(G19+J18))</f>
        <v>0</v>
      </c>
      <c r="K19" s="69"/>
      <c r="L19" s="121">
        <f t="shared" si="4"/>
        <v>21.3</v>
      </c>
      <c r="M19" s="118">
        <f t="shared" si="0"/>
        <v>0</v>
      </c>
      <c r="N19" s="90">
        <f>+SUM($H$10:H19)</f>
        <v>0</v>
      </c>
      <c r="O19" s="120">
        <f t="shared" si="1"/>
        <v>0</v>
      </c>
    </row>
    <row r="20" spans="2:15" ht="12.75">
      <c r="B20" s="64">
        <f>IF((Tasas!B24&gt;1%),(Tasas!B24),(0%))</f>
        <v>0.3275</v>
      </c>
      <c r="C20" s="65">
        <f>IF((Tasas!C24=("")),(""),Tasas!C24)</f>
        <v>39448</v>
      </c>
      <c r="D20" s="66">
        <f>IF((Tasas!D24=("")),(""),Tasas!D24)</f>
        <v>39538</v>
      </c>
      <c r="E20" s="67">
        <f t="shared" si="5"/>
        <v>39538</v>
      </c>
      <c r="F20" s="68">
        <f t="shared" si="2"/>
        <v>0.0008948087431693989</v>
      </c>
      <c r="G20" s="40">
        <f t="shared" si="8"/>
        <v>0</v>
      </c>
      <c r="H20" s="41">
        <f t="shared" si="7"/>
        <v>0</v>
      </c>
      <c r="I20" s="41">
        <f t="shared" si="6"/>
        <v>10000000</v>
      </c>
      <c r="J20" s="42">
        <f t="shared" si="3"/>
        <v>0</v>
      </c>
      <c r="K20" s="69"/>
      <c r="L20" s="121">
        <f t="shared" si="4"/>
        <v>21.3</v>
      </c>
      <c r="M20" s="118">
        <f t="shared" si="0"/>
        <v>0</v>
      </c>
      <c r="N20" s="90">
        <f>+SUM($H$10:H20)</f>
        <v>0</v>
      </c>
      <c r="O20" s="120">
        <f t="shared" si="1"/>
        <v>0</v>
      </c>
    </row>
    <row r="21" spans="2:15" ht="12.75">
      <c r="B21" s="64">
        <f>IF((Tasas!B25&gt;1%),(Tasas!B25),(0%))</f>
        <v>0.3288</v>
      </c>
      <c r="C21" s="65">
        <f>IF((Tasas!C25=("")),(""),Tasas!C25)</f>
        <v>39539</v>
      </c>
      <c r="D21" s="66">
        <f>IF((Tasas!D25=("")),(""),Tasas!D25)</f>
        <v>39629</v>
      </c>
      <c r="E21" s="67">
        <f t="shared" si="5"/>
        <v>39629</v>
      </c>
      <c r="F21" s="68">
        <f t="shared" si="2"/>
        <v>0.0008983606557377049</v>
      </c>
      <c r="G21" s="40">
        <f t="shared" si="8"/>
        <v>0</v>
      </c>
      <c r="H21" s="41">
        <f t="shared" si="7"/>
        <v>0</v>
      </c>
      <c r="I21" s="41">
        <f t="shared" si="6"/>
        <v>10000000</v>
      </c>
      <c r="J21" s="42">
        <f t="shared" si="3"/>
        <v>0</v>
      </c>
      <c r="K21" s="69"/>
      <c r="L21" s="121">
        <f t="shared" si="4"/>
        <v>21.3</v>
      </c>
      <c r="M21" s="118">
        <f t="shared" si="0"/>
        <v>0</v>
      </c>
      <c r="N21" s="90">
        <f>+SUM($H$10:H21)</f>
        <v>0</v>
      </c>
      <c r="O21" s="120">
        <f t="shared" si="1"/>
        <v>0</v>
      </c>
    </row>
    <row r="22" spans="2:15" ht="12.75">
      <c r="B22" s="64">
        <f>IF((Tasas!B26&gt;1%),(Tasas!B26),(0%))</f>
        <v>0.3227</v>
      </c>
      <c r="C22" s="65">
        <f>IF((Tasas!C26=("")),(""),Tasas!C26)</f>
        <v>39630</v>
      </c>
      <c r="D22" s="66">
        <f>IF((Tasas!D26=("")),(""),Tasas!D26)</f>
        <v>39721</v>
      </c>
      <c r="E22" s="67">
        <f t="shared" si="5"/>
        <v>39721</v>
      </c>
      <c r="F22" s="68">
        <f t="shared" si="2"/>
        <v>0.0008816939890710382</v>
      </c>
      <c r="G22" s="40">
        <f t="shared" si="8"/>
        <v>0</v>
      </c>
      <c r="H22" s="41">
        <f t="shared" si="7"/>
        <v>0</v>
      </c>
      <c r="I22" s="41">
        <f t="shared" si="6"/>
        <v>10000000</v>
      </c>
      <c r="J22" s="42">
        <f t="shared" si="3"/>
        <v>0</v>
      </c>
      <c r="K22" s="69"/>
      <c r="L22" s="121">
        <f t="shared" si="4"/>
        <v>21.3</v>
      </c>
      <c r="M22" s="118">
        <f t="shared" si="0"/>
        <v>0</v>
      </c>
      <c r="N22" s="90">
        <f>+SUM($H$10:H22)</f>
        <v>0</v>
      </c>
      <c r="O22" s="120">
        <f t="shared" si="1"/>
        <v>0</v>
      </c>
    </row>
    <row r="23" spans="2:15" ht="12.75">
      <c r="B23" s="64">
        <f>IF((Tasas!B27&gt;1%),(Tasas!B27),(0%))</f>
        <v>0.3153</v>
      </c>
      <c r="C23" s="65">
        <f>IF((Tasas!C27=("")),(""),Tasas!C27)</f>
        <v>39722</v>
      </c>
      <c r="D23" s="66">
        <f>IF((Tasas!D27=("")),(""),Tasas!D27)</f>
        <v>39813</v>
      </c>
      <c r="E23" s="67">
        <f t="shared" si="5"/>
        <v>39813</v>
      </c>
      <c r="F23" s="68">
        <f t="shared" si="2"/>
        <v>0.0008614754098360657</v>
      </c>
      <c r="G23" s="40">
        <f t="shared" si="8"/>
        <v>0</v>
      </c>
      <c r="H23" s="41">
        <f t="shared" si="7"/>
        <v>0</v>
      </c>
      <c r="I23" s="41">
        <f t="shared" si="6"/>
        <v>10000000</v>
      </c>
      <c r="J23" s="42">
        <f t="shared" si="3"/>
        <v>0</v>
      </c>
      <c r="K23" s="69"/>
      <c r="L23" s="121">
        <f t="shared" si="4"/>
        <v>21.3</v>
      </c>
      <c r="M23" s="118">
        <f t="shared" si="0"/>
        <v>0</v>
      </c>
      <c r="N23" s="90">
        <f>+SUM($H$10:H23)</f>
        <v>0</v>
      </c>
      <c r="O23" s="120">
        <f t="shared" si="1"/>
        <v>0</v>
      </c>
    </row>
    <row r="24" spans="2:15" ht="12.75">
      <c r="B24" s="64">
        <f>IF((Tasas!B28&gt;1%),(Tasas!B28),(0%))</f>
        <v>0.3071</v>
      </c>
      <c r="C24" s="65">
        <f>IF((Tasas!C28=("")),(""),Tasas!C28)</f>
        <v>39814</v>
      </c>
      <c r="D24" s="66">
        <f>IF((Tasas!D28=("")),(""),Tasas!D28)</f>
        <v>39903</v>
      </c>
      <c r="E24" s="67">
        <f t="shared" si="5"/>
        <v>39903</v>
      </c>
      <c r="F24" s="68">
        <f t="shared" si="2"/>
        <v>0.0008390710382513661</v>
      </c>
      <c r="G24" s="40">
        <f t="shared" si="8"/>
        <v>0</v>
      </c>
      <c r="H24" s="41">
        <f t="shared" si="7"/>
        <v>0</v>
      </c>
      <c r="I24" s="41">
        <f t="shared" si="6"/>
        <v>10000000</v>
      </c>
      <c r="J24" s="42">
        <f t="shared" si="3"/>
        <v>0</v>
      </c>
      <c r="K24" s="69"/>
      <c r="L24" s="121">
        <f t="shared" si="4"/>
        <v>21.3</v>
      </c>
      <c r="M24" s="118">
        <f t="shared" si="0"/>
        <v>0</v>
      </c>
      <c r="N24" s="90">
        <f>+SUM($H$10:H24)</f>
        <v>0</v>
      </c>
      <c r="O24" s="120">
        <f t="shared" si="1"/>
        <v>0</v>
      </c>
    </row>
    <row r="25" spans="2:15" ht="12.75">
      <c r="B25" s="64">
        <f>IF((Tasas!B29&gt;1%),(Tasas!B29),(0%))</f>
        <v>0.3042</v>
      </c>
      <c r="C25" s="65">
        <f>IF((Tasas!C29=("")),(""),Tasas!C29)</f>
        <v>39904</v>
      </c>
      <c r="D25" s="66">
        <f>IF((Tasas!D29=("")),(""),Tasas!D29)</f>
        <v>39994</v>
      </c>
      <c r="E25" s="67">
        <f t="shared" si="5"/>
        <v>39994</v>
      </c>
      <c r="F25" s="68">
        <f t="shared" si="2"/>
        <v>0.0008311475409836066</v>
      </c>
      <c r="G25" s="40">
        <f t="shared" si="8"/>
        <v>0</v>
      </c>
      <c r="H25" s="41">
        <f t="shared" si="7"/>
        <v>0</v>
      </c>
      <c r="I25" s="41">
        <f t="shared" si="6"/>
        <v>10000000</v>
      </c>
      <c r="J25" s="42">
        <f t="shared" si="3"/>
        <v>0</v>
      </c>
      <c r="K25" s="69"/>
      <c r="L25" s="121">
        <f t="shared" si="4"/>
        <v>21.3</v>
      </c>
      <c r="M25" s="118">
        <f t="shared" si="0"/>
        <v>0</v>
      </c>
      <c r="N25" s="90">
        <f>+SUM($H$10:H25)</f>
        <v>0</v>
      </c>
      <c r="O25" s="120">
        <f t="shared" si="1"/>
        <v>0</v>
      </c>
    </row>
    <row r="26" spans="2:15" ht="12.75">
      <c r="B26" s="64">
        <f>IF((Tasas!B30&gt;1%),(Tasas!B30),(0%))</f>
        <v>0.2798</v>
      </c>
      <c r="C26" s="65">
        <f>IF((Tasas!C30=("")),(""),Tasas!C30)</f>
        <v>39995</v>
      </c>
      <c r="D26" s="66">
        <f>IF((Tasas!D30=("")),(""),Tasas!D30)</f>
        <v>40086</v>
      </c>
      <c r="E26" s="67">
        <f t="shared" si="5"/>
        <v>40086</v>
      </c>
      <c r="F26" s="68">
        <f t="shared" si="2"/>
        <v>0.0007644808743169399</v>
      </c>
      <c r="G26" s="40">
        <f t="shared" si="8"/>
        <v>0</v>
      </c>
      <c r="H26" s="41">
        <f t="shared" si="7"/>
        <v>0</v>
      </c>
      <c r="I26" s="41">
        <f t="shared" si="6"/>
        <v>10000000</v>
      </c>
      <c r="J26" s="42">
        <f t="shared" si="3"/>
        <v>0</v>
      </c>
      <c r="K26" s="69"/>
      <c r="L26" s="121">
        <f t="shared" si="4"/>
        <v>21.3</v>
      </c>
      <c r="M26" s="118">
        <f t="shared" si="0"/>
        <v>0</v>
      </c>
      <c r="N26" s="90">
        <f>+SUM($H$10:H26)</f>
        <v>0</v>
      </c>
      <c r="O26" s="120">
        <f t="shared" si="1"/>
        <v>0</v>
      </c>
    </row>
    <row r="27" spans="2:15" ht="12.75">
      <c r="B27" s="64">
        <f>IF((Tasas!B31&gt;1%),(Tasas!B31),(0%))</f>
        <v>0.2592</v>
      </c>
      <c r="C27" s="65">
        <f>IF((Tasas!C31=("")),(""),Tasas!C31)</f>
        <v>40087</v>
      </c>
      <c r="D27" s="66">
        <f>IF((Tasas!D31=("")),(""),Tasas!D31)</f>
        <v>40178</v>
      </c>
      <c r="E27" s="67">
        <f t="shared" si="5"/>
        <v>40178</v>
      </c>
      <c r="F27" s="68">
        <f t="shared" si="2"/>
        <v>0.0007081967213114754</v>
      </c>
      <c r="G27" s="40">
        <f t="shared" si="8"/>
        <v>0</v>
      </c>
      <c r="H27" s="41">
        <f t="shared" si="7"/>
        <v>0</v>
      </c>
      <c r="I27" s="41">
        <f t="shared" si="6"/>
        <v>10000000</v>
      </c>
      <c r="J27" s="42">
        <f t="shared" si="3"/>
        <v>0</v>
      </c>
      <c r="K27" s="69"/>
      <c r="L27" s="121">
        <f t="shared" si="4"/>
        <v>21.3</v>
      </c>
      <c r="M27" s="118">
        <f t="shared" si="0"/>
        <v>0</v>
      </c>
      <c r="N27" s="90">
        <f>+SUM($H$10:H27)</f>
        <v>0</v>
      </c>
      <c r="O27" s="120">
        <f t="shared" si="1"/>
        <v>0</v>
      </c>
    </row>
    <row r="28" spans="2:15" ht="12.75">
      <c r="B28" s="64">
        <f>IF((Tasas!B32&gt;1%),(Tasas!B32),(0%))</f>
        <v>0.2421</v>
      </c>
      <c r="C28" s="65">
        <f>IF((Tasas!C32=("")),(""),Tasas!C32)</f>
        <v>40179</v>
      </c>
      <c r="D28" s="66">
        <f>IF((Tasas!D32=("")),(""),Tasas!D32)</f>
        <v>40268</v>
      </c>
      <c r="E28" s="67">
        <f t="shared" si="5"/>
        <v>40268</v>
      </c>
      <c r="F28" s="68">
        <f t="shared" si="2"/>
        <v>0.0006614754098360656</v>
      </c>
      <c r="G28" s="40">
        <f t="shared" si="8"/>
        <v>0</v>
      </c>
      <c r="H28" s="41">
        <f t="shared" si="7"/>
        <v>0</v>
      </c>
      <c r="I28" s="41">
        <f t="shared" si="6"/>
        <v>10000000</v>
      </c>
      <c r="J28" s="42">
        <f t="shared" si="3"/>
        <v>0</v>
      </c>
      <c r="K28" s="69"/>
      <c r="L28" s="121">
        <f t="shared" si="4"/>
        <v>21.3</v>
      </c>
      <c r="M28" s="118">
        <f t="shared" si="0"/>
        <v>0</v>
      </c>
      <c r="N28" s="90">
        <f>+SUM($H$10:H28)</f>
        <v>0</v>
      </c>
      <c r="O28" s="120">
        <f t="shared" si="1"/>
        <v>0</v>
      </c>
    </row>
    <row r="29" spans="2:15" ht="12.75">
      <c r="B29" s="64">
        <f>IF((Tasas!B33&gt;1%),(Tasas!B33),(0%))</f>
        <v>0.2297</v>
      </c>
      <c r="C29" s="65">
        <f>IF((Tasas!C33=("")),(""),Tasas!C33)</f>
        <v>40269</v>
      </c>
      <c r="D29" s="66">
        <f>IF((Tasas!D33=("")),(""),Tasas!D33)</f>
        <v>40359</v>
      </c>
      <c r="E29" s="67">
        <f t="shared" si="5"/>
        <v>40359</v>
      </c>
      <c r="F29" s="68">
        <f t="shared" si="2"/>
        <v>0.0006275956284153005</v>
      </c>
      <c r="G29" s="40">
        <f t="shared" si="8"/>
        <v>0</v>
      </c>
      <c r="H29" s="41">
        <f t="shared" si="7"/>
        <v>0</v>
      </c>
      <c r="I29" s="41">
        <f t="shared" si="6"/>
        <v>10000000</v>
      </c>
      <c r="J29" s="42">
        <f t="shared" si="3"/>
        <v>0</v>
      </c>
      <c r="K29" s="69"/>
      <c r="L29" s="121">
        <f t="shared" si="4"/>
        <v>21.3</v>
      </c>
      <c r="M29" s="118">
        <f t="shared" si="0"/>
        <v>0</v>
      </c>
      <c r="N29" s="90">
        <f>+SUM($H$10:H29)</f>
        <v>0</v>
      </c>
      <c r="O29" s="120">
        <f t="shared" si="1"/>
        <v>0</v>
      </c>
    </row>
    <row r="30" spans="2:15" ht="12.75">
      <c r="B30" s="64">
        <f>IF((Tasas!B34&gt;1%),(Tasas!B34),(0%))</f>
        <v>0.2241</v>
      </c>
      <c r="C30" s="65">
        <f>IF((Tasas!C34=("")),(""),Tasas!C34)</f>
        <v>40360</v>
      </c>
      <c r="D30" s="66">
        <f>IF((Tasas!D34=("")),(""),Tasas!D34)</f>
        <v>40451</v>
      </c>
      <c r="E30" s="67">
        <f t="shared" si="5"/>
        <v>40451</v>
      </c>
      <c r="F30" s="68">
        <f t="shared" si="2"/>
        <v>0.0006122950819672131</v>
      </c>
      <c r="G30" s="40">
        <f t="shared" si="8"/>
        <v>0</v>
      </c>
      <c r="H30" s="41">
        <f t="shared" si="7"/>
        <v>0</v>
      </c>
      <c r="I30" s="41">
        <f t="shared" si="6"/>
        <v>10000000</v>
      </c>
      <c r="J30" s="42">
        <f t="shared" si="3"/>
        <v>0</v>
      </c>
      <c r="K30" s="69"/>
      <c r="L30" s="121">
        <f t="shared" si="4"/>
        <v>21.3</v>
      </c>
      <c r="M30" s="118">
        <f t="shared" si="0"/>
        <v>0</v>
      </c>
      <c r="N30" s="90">
        <f>+SUM($H$10:H30)</f>
        <v>0</v>
      </c>
      <c r="O30" s="120">
        <f t="shared" si="1"/>
        <v>0</v>
      </c>
    </row>
    <row r="31" spans="2:15" ht="12.75">
      <c r="B31" s="64">
        <f>IF((Tasas!B35&gt;1%),(Tasas!B35),(0%))</f>
        <v>0.2132</v>
      </c>
      <c r="C31" s="65">
        <f>IF((Tasas!C35=("")),(""),Tasas!C35)</f>
        <v>40452</v>
      </c>
      <c r="D31" s="66">
        <f>IF((Tasas!D35=("")),(""),Tasas!D35)</f>
        <v>40543</v>
      </c>
      <c r="E31" s="67">
        <f t="shared" si="5"/>
        <v>40543</v>
      </c>
      <c r="F31" s="68">
        <f t="shared" si="2"/>
        <v>0.0005825136612021858</v>
      </c>
      <c r="G31" s="40">
        <f t="shared" si="8"/>
        <v>0</v>
      </c>
      <c r="H31" s="41">
        <f t="shared" si="7"/>
        <v>0</v>
      </c>
      <c r="I31" s="41">
        <f t="shared" si="6"/>
        <v>10000000</v>
      </c>
      <c r="J31" s="42">
        <f t="shared" si="3"/>
        <v>0</v>
      </c>
      <c r="K31" s="69"/>
      <c r="L31" s="121">
        <f t="shared" si="4"/>
        <v>21.3</v>
      </c>
      <c r="M31" s="118">
        <f t="shared" si="0"/>
        <v>0</v>
      </c>
      <c r="N31" s="90">
        <f>+SUM($H$10:H31)</f>
        <v>0</v>
      </c>
      <c r="O31" s="120">
        <f t="shared" si="1"/>
        <v>0</v>
      </c>
    </row>
    <row r="32" spans="2:15" ht="12.75">
      <c r="B32" s="64">
        <f>IF((Tasas!B36&gt;1%),(Tasas!B36),(0%))</f>
        <v>0.2342</v>
      </c>
      <c r="C32" s="65">
        <f>IF((Tasas!C36=("")),(""),Tasas!C36)</f>
        <v>40544</v>
      </c>
      <c r="D32" s="66">
        <f>IF((Tasas!D36=("")),(""),Tasas!D36)</f>
        <v>40633</v>
      </c>
      <c r="E32" s="67">
        <f t="shared" si="5"/>
        <v>40633</v>
      </c>
      <c r="F32" s="68">
        <f t="shared" si="2"/>
        <v>0.0006398907103825136</v>
      </c>
      <c r="G32" s="40">
        <f t="shared" si="8"/>
        <v>0</v>
      </c>
      <c r="H32" s="41">
        <f t="shared" si="7"/>
        <v>0</v>
      </c>
      <c r="I32" s="41">
        <f t="shared" si="6"/>
        <v>10000000</v>
      </c>
      <c r="J32" s="42">
        <f t="shared" si="3"/>
        <v>0</v>
      </c>
      <c r="K32" s="69"/>
      <c r="L32" s="121">
        <f t="shared" si="4"/>
        <v>21.3</v>
      </c>
      <c r="M32" s="118">
        <f t="shared" si="0"/>
        <v>0</v>
      </c>
      <c r="N32" s="90">
        <f>+SUM($H$10:H32)</f>
        <v>0</v>
      </c>
      <c r="O32" s="120">
        <f t="shared" si="1"/>
        <v>0</v>
      </c>
    </row>
    <row r="33" spans="2:15" ht="12.75">
      <c r="B33" s="64">
        <f>IF((Tasas!B37&gt;1%),(Tasas!B37),(0%))</f>
        <v>0.2654</v>
      </c>
      <c r="C33" s="65">
        <f>IF((Tasas!C37=("")),(""),Tasas!C37)</f>
        <v>40634</v>
      </c>
      <c r="D33" s="66">
        <f>IF((Tasas!D37=("")),(""),Tasas!D37)</f>
        <v>40724</v>
      </c>
      <c r="E33" s="67">
        <f t="shared" si="5"/>
        <v>40724</v>
      </c>
      <c r="F33" s="68">
        <f t="shared" si="2"/>
        <v>0.000725136612021858</v>
      </c>
      <c r="G33" s="40">
        <f t="shared" si="8"/>
        <v>0</v>
      </c>
      <c r="H33" s="41">
        <f t="shared" si="7"/>
        <v>0</v>
      </c>
      <c r="I33" s="41">
        <f t="shared" si="6"/>
        <v>10000000</v>
      </c>
      <c r="J33" s="42">
        <f t="shared" si="3"/>
        <v>0</v>
      </c>
      <c r="K33" s="69"/>
      <c r="L33" s="121">
        <f t="shared" si="4"/>
        <v>21.3</v>
      </c>
      <c r="M33" s="118">
        <f t="shared" si="0"/>
        <v>0</v>
      </c>
      <c r="N33" s="90">
        <f>+SUM($H$10:H33)</f>
        <v>0</v>
      </c>
      <c r="O33" s="120">
        <f t="shared" si="1"/>
        <v>0</v>
      </c>
    </row>
    <row r="34" spans="2:15" ht="12.75">
      <c r="B34" s="64">
        <f>IF((Tasas!B38&gt;1%),(Tasas!B38),(0%))</f>
        <v>0.2795</v>
      </c>
      <c r="C34" s="65">
        <f>IF((Tasas!C38=("")),(""),Tasas!C38)</f>
        <v>40725</v>
      </c>
      <c r="D34" s="66">
        <f>IF((Tasas!D38=("")),(""),Tasas!D38)</f>
        <v>40816</v>
      </c>
      <c r="E34" s="67">
        <f t="shared" si="5"/>
        <v>40816</v>
      </c>
      <c r="F34" s="68">
        <f t="shared" si="2"/>
        <v>0.0007636612021857924</v>
      </c>
      <c r="G34" s="40">
        <f t="shared" si="8"/>
        <v>0</v>
      </c>
      <c r="H34" s="41">
        <f t="shared" si="7"/>
        <v>0</v>
      </c>
      <c r="I34" s="41">
        <f t="shared" si="6"/>
        <v>10000000</v>
      </c>
      <c r="J34" s="42">
        <f t="shared" si="3"/>
        <v>0</v>
      </c>
      <c r="K34" s="69"/>
      <c r="L34" s="121">
        <f t="shared" si="4"/>
        <v>21.3</v>
      </c>
      <c r="M34" s="118">
        <f t="shared" si="0"/>
        <v>0</v>
      </c>
      <c r="N34" s="90">
        <f>+SUM($H$10:H34)</f>
        <v>0</v>
      </c>
      <c r="O34" s="120">
        <f t="shared" si="1"/>
        <v>0</v>
      </c>
    </row>
    <row r="35" spans="2:15" ht="12.75">
      <c r="B35" s="64">
        <f>IF((Tasas!B39&gt;1%),(Tasas!B39),(0%))</f>
        <v>0.2909</v>
      </c>
      <c r="C35" s="65">
        <f>IF((Tasas!C39=("")),(""),Tasas!C39)</f>
        <v>40817</v>
      </c>
      <c r="D35" s="66">
        <f>IF((Tasas!D39=("")),(""),Tasas!D39)</f>
        <v>40908</v>
      </c>
      <c r="E35" s="67">
        <f t="shared" si="5"/>
        <v>40908</v>
      </c>
      <c r="F35" s="68">
        <f t="shared" si="2"/>
        <v>0.0007948087431693989</v>
      </c>
      <c r="G35" s="40">
        <f t="shared" si="8"/>
        <v>0</v>
      </c>
      <c r="H35" s="41">
        <f t="shared" si="7"/>
        <v>0</v>
      </c>
      <c r="I35" s="41">
        <f t="shared" si="6"/>
        <v>10000000</v>
      </c>
      <c r="J35" s="42">
        <f t="shared" si="3"/>
        <v>0</v>
      </c>
      <c r="K35" s="69"/>
      <c r="L35" s="121">
        <f t="shared" si="4"/>
        <v>21.3</v>
      </c>
      <c r="M35" s="118">
        <f t="shared" si="0"/>
        <v>0</v>
      </c>
      <c r="N35" s="90">
        <f>+SUM($H$10:H35)</f>
        <v>0</v>
      </c>
      <c r="O35" s="120">
        <f t="shared" si="1"/>
        <v>0</v>
      </c>
    </row>
    <row r="36" spans="2:15" ht="12.75">
      <c r="B36" s="64">
        <f>IF((Tasas!B40&gt;1%),(Tasas!B40),(0%))</f>
        <v>0.2988</v>
      </c>
      <c r="C36" s="65">
        <f>IF((Tasas!C40=("")),(""),Tasas!C40)</f>
        <v>40909</v>
      </c>
      <c r="D36" s="66">
        <f>IF((Tasas!D40=("")),(""),Tasas!D40)</f>
        <v>40999</v>
      </c>
      <c r="E36" s="67">
        <f t="shared" si="5"/>
        <v>40999</v>
      </c>
      <c r="F36" s="68">
        <f t="shared" si="2"/>
        <v>0.0008163934426229509</v>
      </c>
      <c r="G36" s="40">
        <f t="shared" si="8"/>
        <v>0</v>
      </c>
      <c r="H36" s="41">
        <f t="shared" si="7"/>
        <v>0</v>
      </c>
      <c r="I36" s="41">
        <f t="shared" si="6"/>
        <v>10000000</v>
      </c>
      <c r="J36" s="42">
        <f t="shared" si="3"/>
        <v>0</v>
      </c>
      <c r="K36" s="69"/>
      <c r="L36" s="121">
        <f t="shared" si="4"/>
        <v>21.3</v>
      </c>
      <c r="M36" s="118">
        <f t="shared" si="0"/>
        <v>0</v>
      </c>
      <c r="N36" s="90">
        <f>+SUM($H$10:H36)</f>
        <v>0</v>
      </c>
      <c r="O36" s="120">
        <f t="shared" si="1"/>
        <v>0</v>
      </c>
    </row>
    <row r="37" spans="2:15" ht="12.75">
      <c r="B37" s="64">
        <f>IF((Tasas!B41&gt;1%),(Tasas!B41),(0%))</f>
        <v>0.3078</v>
      </c>
      <c r="C37" s="65">
        <f>IF((Tasas!C41=("")),(""),Tasas!C41)</f>
        <v>41000</v>
      </c>
      <c r="D37" s="66">
        <f>IF((Tasas!D41=("")),(""),Tasas!D41)</f>
        <v>41090</v>
      </c>
      <c r="E37" s="67">
        <f t="shared" si="5"/>
        <v>41090</v>
      </c>
      <c r="F37" s="68">
        <f t="shared" si="2"/>
        <v>0.0008409836065573771</v>
      </c>
      <c r="G37" s="40">
        <f t="shared" si="8"/>
        <v>0</v>
      </c>
      <c r="H37" s="41">
        <f t="shared" si="7"/>
        <v>0</v>
      </c>
      <c r="I37" s="41">
        <f t="shared" si="6"/>
        <v>10000000</v>
      </c>
      <c r="J37" s="42">
        <f t="shared" si="3"/>
        <v>0</v>
      </c>
      <c r="K37" s="69"/>
      <c r="L37" s="121">
        <f t="shared" si="4"/>
        <v>21.3</v>
      </c>
      <c r="M37" s="118">
        <f t="shared" si="0"/>
        <v>0</v>
      </c>
      <c r="N37" s="90">
        <f>+SUM($H$10:H37)</f>
        <v>0</v>
      </c>
      <c r="O37" s="120">
        <f t="shared" si="1"/>
        <v>0</v>
      </c>
    </row>
    <row r="38" spans="2:15" ht="12.75">
      <c r="B38" s="64">
        <f>IF((Tasas!B42&gt;1%),(Tasas!B42),(0%))</f>
        <v>0.3129</v>
      </c>
      <c r="C38" s="65">
        <f>IF((Tasas!C42=("")),(""),Tasas!C42)</f>
        <v>41091</v>
      </c>
      <c r="D38" s="66">
        <f>IF((Tasas!D42=("")),(""),Tasas!D42)</f>
        <v>41182</v>
      </c>
      <c r="E38" s="67">
        <f t="shared" si="5"/>
        <v>41182</v>
      </c>
      <c r="F38" s="68">
        <f t="shared" si="2"/>
        <v>0.0008549180327868853</v>
      </c>
      <c r="G38" s="40">
        <f t="shared" si="8"/>
        <v>0</v>
      </c>
      <c r="H38" s="41">
        <f t="shared" si="7"/>
        <v>0</v>
      </c>
      <c r="I38" s="41">
        <f t="shared" si="6"/>
        <v>10000000</v>
      </c>
      <c r="J38" s="42">
        <f t="shared" si="3"/>
        <v>0</v>
      </c>
      <c r="K38" s="69"/>
      <c r="L38" s="121">
        <f t="shared" si="4"/>
        <v>21.3</v>
      </c>
      <c r="M38" s="118">
        <f t="shared" si="0"/>
        <v>0</v>
      </c>
      <c r="N38" s="90">
        <f>+SUM($H$10:H38)</f>
        <v>0</v>
      </c>
      <c r="O38" s="120">
        <f t="shared" si="1"/>
        <v>0</v>
      </c>
    </row>
    <row r="39" spans="2:15" ht="12.75">
      <c r="B39" s="64">
        <f>IF((Tasas!B43&gt;1%),(Tasas!B43),(0%))</f>
        <v>0.3134</v>
      </c>
      <c r="C39" s="65">
        <f>IF((Tasas!C43=("")),(""),Tasas!C43)</f>
        <v>41183</v>
      </c>
      <c r="D39" s="66">
        <f>IF((Tasas!D43=("")),(""),Tasas!D43)</f>
        <v>41268</v>
      </c>
      <c r="E39" s="67">
        <f t="shared" si="5"/>
        <v>41268</v>
      </c>
      <c r="F39" s="68">
        <f t="shared" si="2"/>
        <v>0.0008562841530054645</v>
      </c>
      <c r="G39" s="40">
        <f t="shared" si="8"/>
        <v>0</v>
      </c>
      <c r="H39" s="41">
        <f t="shared" si="7"/>
        <v>0</v>
      </c>
      <c r="I39" s="41">
        <f t="shared" si="6"/>
        <v>10000000</v>
      </c>
      <c r="J39" s="42">
        <f t="shared" si="3"/>
        <v>0</v>
      </c>
      <c r="K39" s="69"/>
      <c r="L39" s="121">
        <f t="shared" si="4"/>
        <v>21.3</v>
      </c>
      <c r="M39" s="118">
        <f t="shared" si="0"/>
        <v>0</v>
      </c>
      <c r="N39" s="90">
        <f>+SUM($H$10:H39)</f>
        <v>0</v>
      </c>
      <c r="O39" s="120">
        <f t="shared" si="1"/>
        <v>0</v>
      </c>
    </row>
    <row r="40" spans="2:15" ht="12.75">
      <c r="B40" s="64">
        <f>IF((Tasas!B44&gt;1%),(Tasas!B44),(0%))</f>
        <v>0.3134</v>
      </c>
      <c r="C40" s="65">
        <f>IF((Tasas!C44=("")),(""),Tasas!C44)</f>
        <v>41269</v>
      </c>
      <c r="D40" s="66">
        <f>IF((Tasas!D44=("")),(""),Tasas!D44)</f>
        <v>41274</v>
      </c>
      <c r="E40" s="67">
        <f t="shared" si="5"/>
        <v>41274</v>
      </c>
      <c r="F40" s="68">
        <f t="shared" si="2"/>
        <v>0.0008562841530054645</v>
      </c>
      <c r="G40" s="40">
        <f t="shared" si="8"/>
        <v>0</v>
      </c>
      <c r="H40" s="41">
        <f t="shared" si="7"/>
        <v>0</v>
      </c>
      <c r="I40" s="41">
        <f t="shared" si="6"/>
        <v>10000000</v>
      </c>
      <c r="J40" s="42">
        <f t="shared" si="3"/>
        <v>0</v>
      </c>
      <c r="K40" s="69"/>
      <c r="L40" s="121">
        <f t="shared" si="4"/>
        <v>21.3</v>
      </c>
      <c r="M40" s="118">
        <f t="shared" si="0"/>
        <v>0</v>
      </c>
      <c r="N40" s="90">
        <f>+SUM($H$10:H40)</f>
        <v>0</v>
      </c>
      <c r="O40" s="120">
        <f t="shared" si="1"/>
        <v>0</v>
      </c>
    </row>
    <row r="41" spans="2:15" ht="12.75">
      <c r="B41" s="64">
        <f>IF((Tasas!B45&gt;1%),(Tasas!B45),(0%))</f>
        <v>0.3113</v>
      </c>
      <c r="C41" s="65">
        <f>IF((Tasas!C45=("")),(""),Tasas!C45)</f>
        <v>41275</v>
      </c>
      <c r="D41" s="66">
        <f>IF((Tasas!D45=("")),(""),Tasas!D45)</f>
        <v>41364</v>
      </c>
      <c r="E41" s="67">
        <f t="shared" si="5"/>
        <v>41364</v>
      </c>
      <c r="F41" s="68">
        <f t="shared" si="2"/>
        <v>0.0008505464480874317</v>
      </c>
      <c r="G41" s="40">
        <f t="shared" si="8"/>
        <v>0</v>
      </c>
      <c r="H41" s="41">
        <f t="shared" si="7"/>
        <v>0</v>
      </c>
      <c r="I41" s="41">
        <f t="shared" si="6"/>
        <v>10000000</v>
      </c>
      <c r="J41" s="42">
        <f t="shared" si="3"/>
        <v>0</v>
      </c>
      <c r="K41" s="69"/>
      <c r="L41" s="121">
        <f t="shared" si="4"/>
        <v>21.3</v>
      </c>
      <c r="M41" s="118">
        <f t="shared" si="0"/>
        <v>0</v>
      </c>
      <c r="N41" s="90">
        <f>+SUM($H$10:H41)</f>
        <v>0</v>
      </c>
      <c r="O41" s="120">
        <f t="shared" si="1"/>
        <v>0</v>
      </c>
    </row>
    <row r="42" spans="2:15" s="84" customFormat="1" ht="12.75">
      <c r="B42" s="75">
        <f>IF((Tasas!B46&gt;1%),(Tasas!B46),(0%))</f>
        <v>0.3125</v>
      </c>
      <c r="C42" s="76">
        <f>IF((Tasas!C46=("")),(""),Tasas!C46)</f>
        <v>41365</v>
      </c>
      <c r="D42" s="77">
        <f>IF((Tasas!D46=("")),(""),Tasas!D46)</f>
        <v>41455</v>
      </c>
      <c r="E42" s="78">
        <f t="shared" si="5"/>
        <v>41455</v>
      </c>
      <c r="F42" s="79">
        <f t="shared" si="2"/>
        <v>0.0008538251366120218</v>
      </c>
      <c r="G42" s="80">
        <f t="shared" si="8"/>
        <v>0</v>
      </c>
      <c r="H42" s="81">
        <f t="shared" si="7"/>
        <v>0</v>
      </c>
      <c r="I42" s="81">
        <f t="shared" si="6"/>
        <v>10000000</v>
      </c>
      <c r="J42" s="82">
        <f t="shared" si="3"/>
        <v>0</v>
      </c>
      <c r="K42" s="83"/>
      <c r="L42" s="121">
        <f t="shared" si="4"/>
        <v>21.3</v>
      </c>
      <c r="M42" s="118">
        <f t="shared" si="0"/>
        <v>0</v>
      </c>
      <c r="N42" s="90">
        <f>+SUM($H$10:H42)</f>
        <v>0</v>
      </c>
      <c r="O42" s="120">
        <f t="shared" si="1"/>
        <v>0</v>
      </c>
    </row>
    <row r="43" spans="2:15" s="84" customFormat="1" ht="12.75">
      <c r="B43" s="75">
        <f>IF((Tasas!B47&gt;1%),(Tasas!B47),(0%))</f>
        <v>0.3051</v>
      </c>
      <c r="C43" s="76">
        <f>IF((Tasas!C47=("")),(""),Tasas!C47)</f>
        <v>41456</v>
      </c>
      <c r="D43" s="77">
        <f>IF((Tasas!D47=("")),(""),Tasas!D47)</f>
        <v>41547</v>
      </c>
      <c r="E43" s="78">
        <f t="shared" si="5"/>
        <v>41547</v>
      </c>
      <c r="F43" s="79">
        <f t="shared" si="2"/>
        <v>0.0008336065573770491</v>
      </c>
      <c r="G43" s="80">
        <f t="shared" si="8"/>
        <v>0</v>
      </c>
      <c r="H43" s="81">
        <f t="shared" si="7"/>
        <v>0</v>
      </c>
      <c r="I43" s="81">
        <f t="shared" si="6"/>
        <v>10000000</v>
      </c>
      <c r="J43" s="82">
        <f t="shared" si="3"/>
        <v>0</v>
      </c>
      <c r="K43" s="83"/>
      <c r="L43" s="121">
        <f t="shared" si="4"/>
        <v>21.3</v>
      </c>
      <c r="M43" s="118">
        <f t="shared" si="0"/>
        <v>0</v>
      </c>
      <c r="N43" s="90">
        <f>+SUM($H$10:H43)</f>
        <v>0</v>
      </c>
      <c r="O43" s="120">
        <f t="shared" si="1"/>
        <v>0</v>
      </c>
    </row>
    <row r="44" spans="2:15" s="84" customFormat="1" ht="12.75">
      <c r="B44" s="75">
        <f>IF((Tasas!B48&gt;1%),(Tasas!B48),(0%))</f>
        <v>0.2978</v>
      </c>
      <c r="C44" s="76">
        <f>IF((Tasas!C48=("")),(""),Tasas!C48)</f>
        <v>41548</v>
      </c>
      <c r="D44" s="77">
        <f>IF((Tasas!D48=("")),(""),Tasas!D48)</f>
        <v>41639</v>
      </c>
      <c r="E44" s="78">
        <f t="shared" si="5"/>
        <v>41639</v>
      </c>
      <c r="F44" s="79">
        <f t="shared" si="2"/>
        <v>0.0008136612021857923</v>
      </c>
      <c r="G44" s="80">
        <f t="shared" si="8"/>
        <v>0</v>
      </c>
      <c r="H44" s="81">
        <f t="shared" si="7"/>
        <v>0</v>
      </c>
      <c r="I44" s="81">
        <f t="shared" si="6"/>
        <v>10000000</v>
      </c>
      <c r="J44" s="82">
        <f t="shared" si="3"/>
        <v>0</v>
      </c>
      <c r="K44" s="83"/>
      <c r="L44" s="121">
        <f t="shared" si="4"/>
        <v>21.3</v>
      </c>
      <c r="M44" s="118">
        <f t="shared" si="0"/>
        <v>0</v>
      </c>
      <c r="N44" s="90">
        <f>+SUM($H$10:H44)</f>
        <v>0</v>
      </c>
      <c r="O44" s="120">
        <f t="shared" si="1"/>
        <v>0</v>
      </c>
    </row>
    <row r="45" spans="2:15" s="84" customFormat="1" ht="12.75">
      <c r="B45" s="75">
        <f>IF((Tasas!B49&gt;1%),(Tasas!B49),(0%))</f>
        <v>0.2948</v>
      </c>
      <c r="C45" s="76">
        <f>IF((Tasas!C49=("")),(""),Tasas!C49)</f>
        <v>41640</v>
      </c>
      <c r="D45" s="77">
        <f>IF((Tasas!D49=("")),(""),Tasas!D49)</f>
        <v>41729</v>
      </c>
      <c r="E45" s="78">
        <f aca="true" t="shared" si="9" ref="E45:E52">IF((C45=""),1101,(IF($E$5&lt;D45,$E$5,D45)))</f>
        <v>41729</v>
      </c>
      <c r="F45" s="79">
        <f aca="true" t="shared" si="10" ref="F45:F50">+B45/365</f>
        <v>0.0008076712328767123</v>
      </c>
      <c r="G45" s="80">
        <f t="shared" si="8"/>
        <v>0</v>
      </c>
      <c r="H45" s="81">
        <f t="shared" si="7"/>
        <v>0</v>
      </c>
      <c r="I45" s="81">
        <f t="shared" si="6"/>
        <v>10000000</v>
      </c>
      <c r="J45" s="82">
        <f t="shared" si="3"/>
        <v>0</v>
      </c>
      <c r="K45" s="83"/>
      <c r="L45" s="121">
        <f t="shared" si="4"/>
        <v>21.3</v>
      </c>
      <c r="M45" s="118">
        <f t="shared" si="0"/>
        <v>0</v>
      </c>
      <c r="N45" s="90">
        <f>+SUM($H$10:H45)</f>
        <v>0</v>
      </c>
      <c r="O45" s="120">
        <f t="shared" si="1"/>
        <v>0</v>
      </c>
    </row>
    <row r="46" spans="2:15" s="84" customFormat="1" ht="12.75">
      <c r="B46" s="75">
        <f>IF((Tasas!B50&gt;1%),(Tasas!B50),(0%))</f>
        <v>0.2945</v>
      </c>
      <c r="C46" s="76">
        <f>IF((Tasas!C50=("")),(""),Tasas!C50)</f>
        <v>41730</v>
      </c>
      <c r="D46" s="77">
        <f>IF((Tasas!D50=("")),(""),Tasas!D50)</f>
        <v>41820</v>
      </c>
      <c r="E46" s="78">
        <f t="shared" si="9"/>
        <v>41820</v>
      </c>
      <c r="F46" s="79">
        <f t="shared" si="10"/>
        <v>0.0008068493150684931</v>
      </c>
      <c r="G46" s="80">
        <f t="shared" si="8"/>
        <v>0</v>
      </c>
      <c r="H46" s="81">
        <f t="shared" si="7"/>
        <v>0</v>
      </c>
      <c r="I46" s="81">
        <f t="shared" si="6"/>
        <v>10000000</v>
      </c>
      <c r="J46" s="82">
        <f t="shared" si="3"/>
        <v>0</v>
      </c>
      <c r="K46" s="83"/>
      <c r="L46" s="121">
        <f t="shared" si="4"/>
        <v>21.3</v>
      </c>
      <c r="M46" s="118">
        <f t="shared" si="0"/>
        <v>0</v>
      </c>
      <c r="N46" s="90">
        <f>+SUM($H$10:H46)</f>
        <v>0</v>
      </c>
      <c r="O46" s="120">
        <f t="shared" si="1"/>
        <v>0</v>
      </c>
    </row>
    <row r="47" spans="2:15" s="84" customFormat="1" ht="12.75">
      <c r="B47" s="75">
        <f>IF((Tasas!B51&gt;1%),(Tasas!B51),(0%))</f>
        <v>0.29</v>
      </c>
      <c r="C47" s="76">
        <f>IF((Tasas!C51=("")),(""),Tasas!C51)</f>
        <v>41821</v>
      </c>
      <c r="D47" s="77">
        <f>IF((Tasas!D51=("")),(""),Tasas!D51)</f>
        <v>41912</v>
      </c>
      <c r="E47" s="78">
        <f t="shared" si="9"/>
        <v>41912</v>
      </c>
      <c r="F47" s="79">
        <f t="shared" si="10"/>
        <v>0.0007945205479452054</v>
      </c>
      <c r="G47" s="80">
        <f t="shared" si="8"/>
        <v>0</v>
      </c>
      <c r="H47" s="81">
        <f t="shared" si="7"/>
        <v>0</v>
      </c>
      <c r="I47" s="81">
        <f>+I46+H47</f>
        <v>10000000</v>
      </c>
      <c r="J47" s="82">
        <f t="shared" si="3"/>
        <v>0</v>
      </c>
      <c r="K47" s="83"/>
      <c r="L47" s="121">
        <f t="shared" si="4"/>
        <v>21.3</v>
      </c>
      <c r="M47" s="118">
        <f t="shared" si="0"/>
        <v>0</v>
      </c>
      <c r="N47" s="90">
        <f>+SUM($H$10:H47)</f>
        <v>0</v>
      </c>
      <c r="O47" s="120">
        <f t="shared" si="1"/>
        <v>0</v>
      </c>
    </row>
    <row r="48" spans="2:15" s="84" customFormat="1" ht="12.75">
      <c r="B48" s="75">
        <f>IF((Tasas!B52&gt;1%),(Tasas!B52),(0%))</f>
        <v>0.2876</v>
      </c>
      <c r="C48" s="76">
        <f>IF((Tasas!C52=("")),(""),Tasas!C52)</f>
        <v>41913</v>
      </c>
      <c r="D48" s="77">
        <f>IF((Tasas!D52=("")),(""),Tasas!D52)</f>
        <v>42004</v>
      </c>
      <c r="E48" s="78">
        <f t="shared" si="9"/>
        <v>42004</v>
      </c>
      <c r="F48" s="79">
        <f t="shared" si="10"/>
        <v>0.0007879452054794521</v>
      </c>
      <c r="G48" s="80">
        <f aca="true" t="shared" si="11" ref="G48:G56">IF($C$5&gt;E48,0,E48-$C$5-J47)</f>
        <v>0</v>
      </c>
      <c r="H48" s="81">
        <f aca="true" t="shared" si="12" ref="H48:H56">+ROUND(($B$5*F48*G48),-3)</f>
        <v>0</v>
      </c>
      <c r="I48" s="81">
        <f t="shared" si="6"/>
        <v>10000000</v>
      </c>
      <c r="J48" s="82">
        <f aca="true" t="shared" si="13" ref="J48:J56">+IF(G48=(""),(""),(G48+J47))</f>
        <v>0</v>
      </c>
      <c r="K48" s="83"/>
      <c r="L48" s="121">
        <f t="shared" si="4"/>
        <v>21.3</v>
      </c>
      <c r="M48" s="118">
        <f t="shared" si="0"/>
        <v>0</v>
      </c>
      <c r="N48" s="90">
        <f>+SUM($H$10:H48)</f>
        <v>0</v>
      </c>
      <c r="O48" s="120">
        <f t="shared" si="1"/>
        <v>0</v>
      </c>
    </row>
    <row r="49" spans="2:15" s="84" customFormat="1" ht="12.75">
      <c r="B49" s="75">
        <f>IF((Tasas!B53&gt;1%),(Tasas!B53),(0%))</f>
        <v>0.2882</v>
      </c>
      <c r="C49" s="76">
        <f>IF((Tasas!C53=("")),(""),Tasas!C53)</f>
        <v>42005</v>
      </c>
      <c r="D49" s="77">
        <f>IF((Tasas!D53=("")),(""),Tasas!D53)</f>
        <v>42094</v>
      </c>
      <c r="E49" s="78">
        <f t="shared" si="9"/>
        <v>42094</v>
      </c>
      <c r="F49" s="79">
        <f t="shared" si="10"/>
        <v>0.0007895890410958904</v>
      </c>
      <c r="G49" s="80">
        <f t="shared" si="11"/>
        <v>0</v>
      </c>
      <c r="H49" s="81">
        <f t="shared" si="12"/>
        <v>0</v>
      </c>
      <c r="I49" s="81">
        <f t="shared" si="6"/>
        <v>10000000</v>
      </c>
      <c r="J49" s="82">
        <f t="shared" si="13"/>
        <v>0</v>
      </c>
      <c r="K49" s="83"/>
      <c r="L49" s="121">
        <f t="shared" si="4"/>
        <v>21.3</v>
      </c>
      <c r="M49" s="118">
        <f aca="true" t="shared" si="14" ref="M49:M81">$B$5*(((1+(L49/100))^(J49/365))-1)</f>
        <v>0</v>
      </c>
      <c r="N49" s="90">
        <f>+SUM($H$10:H49)</f>
        <v>0</v>
      </c>
      <c r="O49" s="120">
        <f t="shared" si="1"/>
        <v>0</v>
      </c>
    </row>
    <row r="50" spans="2:15" s="84" customFormat="1" ht="12.75">
      <c r="B50" s="75">
        <f>IF((Tasas!B54&gt;1%),(Tasas!B54),(0%))</f>
        <v>0.2906</v>
      </c>
      <c r="C50" s="76">
        <f>IF((Tasas!C54=("")),(""),Tasas!C54)</f>
        <v>42095</v>
      </c>
      <c r="D50" s="77">
        <f>IF((Tasas!D54=("")),(""),Tasas!D54)</f>
        <v>42185</v>
      </c>
      <c r="E50" s="78">
        <f t="shared" si="9"/>
        <v>42185</v>
      </c>
      <c r="F50" s="79">
        <f t="shared" si="10"/>
        <v>0.000796164383561644</v>
      </c>
      <c r="G50" s="80">
        <f t="shared" si="11"/>
        <v>0</v>
      </c>
      <c r="H50" s="81">
        <f t="shared" si="12"/>
        <v>0</v>
      </c>
      <c r="I50" s="81">
        <f aca="true" t="shared" si="15" ref="I50:I56">+I49+H50</f>
        <v>10000000</v>
      </c>
      <c r="J50" s="82">
        <f t="shared" si="13"/>
        <v>0</v>
      </c>
      <c r="K50" s="83"/>
      <c r="L50" s="121">
        <f t="shared" si="4"/>
        <v>21.3</v>
      </c>
      <c r="M50" s="118">
        <f t="shared" si="14"/>
        <v>0</v>
      </c>
      <c r="N50" s="90">
        <f>+SUM($H$10:H50)</f>
        <v>0</v>
      </c>
      <c r="O50" s="120">
        <f>+N50-M50</f>
        <v>0</v>
      </c>
    </row>
    <row r="51" spans="2:15" s="84" customFormat="1" ht="12.75">
      <c r="B51" s="75">
        <f>IF((Tasas!B55&gt;1%),(Tasas!B55),(0%))</f>
        <v>0.2889</v>
      </c>
      <c r="C51" s="76">
        <f>IF((Tasas!C55=("")),(""),Tasas!C55)</f>
        <v>42186</v>
      </c>
      <c r="D51" s="77">
        <f>IF((Tasas!D55=("")),(""),Tasas!D55)</f>
        <v>42277</v>
      </c>
      <c r="E51" s="78">
        <f t="shared" si="9"/>
        <v>42277</v>
      </c>
      <c r="F51" s="79">
        <f aca="true" t="shared" si="16" ref="F51:F56">+B51/365</f>
        <v>0.0007915068493150684</v>
      </c>
      <c r="G51" s="80">
        <f t="shared" si="11"/>
        <v>0</v>
      </c>
      <c r="H51" s="81">
        <f t="shared" si="12"/>
        <v>0</v>
      </c>
      <c r="I51" s="81">
        <f t="shared" si="15"/>
        <v>10000000</v>
      </c>
      <c r="J51" s="82">
        <f t="shared" si="13"/>
        <v>0</v>
      </c>
      <c r="K51" s="83"/>
      <c r="L51" s="121">
        <f t="shared" si="4"/>
        <v>21.3</v>
      </c>
      <c r="M51" s="118">
        <f t="shared" si="14"/>
        <v>0</v>
      </c>
      <c r="N51" s="90">
        <f>+SUM($H$10:H51)</f>
        <v>0</v>
      </c>
      <c r="O51" s="120">
        <f aca="true" t="shared" si="17" ref="O51:O81">+N51-M51</f>
        <v>0</v>
      </c>
    </row>
    <row r="52" spans="2:15" s="84" customFormat="1" ht="12.75">
      <c r="B52" s="75">
        <f>IF((Tasas!B56&gt;1%),(Tasas!B56),(0%))</f>
        <v>0.29</v>
      </c>
      <c r="C52" s="76">
        <f>IF((Tasas!C56=("")),(""),Tasas!C56)</f>
        <v>42278</v>
      </c>
      <c r="D52" s="77">
        <f>IF((Tasas!D56=("")),(""),Tasas!D56)</f>
        <v>42369</v>
      </c>
      <c r="E52" s="78">
        <f t="shared" si="9"/>
        <v>42369</v>
      </c>
      <c r="F52" s="79">
        <f t="shared" si="16"/>
        <v>0.0007945205479452054</v>
      </c>
      <c r="G52" s="80">
        <f t="shared" si="11"/>
        <v>0</v>
      </c>
      <c r="H52" s="81">
        <f t="shared" si="12"/>
        <v>0</v>
      </c>
      <c r="I52" s="81">
        <f t="shared" si="15"/>
        <v>10000000</v>
      </c>
      <c r="J52" s="82">
        <f t="shared" si="13"/>
        <v>0</v>
      </c>
      <c r="K52" s="83"/>
      <c r="L52" s="121">
        <f t="shared" si="4"/>
        <v>21.3</v>
      </c>
      <c r="M52" s="118">
        <f t="shared" si="14"/>
        <v>0</v>
      </c>
      <c r="N52" s="90">
        <f>+SUM($H$10:H52)</f>
        <v>0</v>
      </c>
      <c r="O52" s="120">
        <f t="shared" si="17"/>
        <v>0</v>
      </c>
    </row>
    <row r="53" spans="2:15" s="84" customFormat="1" ht="12.75">
      <c r="B53" s="75">
        <f>IF((Tasas!B57&gt;1%),(Tasas!B57),(0%))</f>
        <v>0.2952</v>
      </c>
      <c r="C53" s="76">
        <f>IF((Tasas!C57=("")),(""),Tasas!C57)</f>
        <v>42370</v>
      </c>
      <c r="D53" s="77">
        <f>IF((Tasas!D57=("")),(""),Tasas!D57)</f>
        <v>42460</v>
      </c>
      <c r="E53" s="78">
        <f aca="true" t="shared" si="18" ref="E53:E60">IF((C53=""),1101,(IF($E$5&lt;D53,$E$5,D53)))</f>
        <v>42460</v>
      </c>
      <c r="F53" s="79">
        <f t="shared" si="16"/>
        <v>0.0008087671232876713</v>
      </c>
      <c r="G53" s="80">
        <f t="shared" si="11"/>
        <v>0</v>
      </c>
      <c r="H53" s="81">
        <f t="shared" si="12"/>
        <v>0</v>
      </c>
      <c r="I53" s="81">
        <f t="shared" si="15"/>
        <v>10000000</v>
      </c>
      <c r="J53" s="82">
        <f t="shared" si="13"/>
        <v>0</v>
      </c>
      <c r="K53" s="83"/>
      <c r="L53" s="121">
        <f t="shared" si="4"/>
        <v>21.3</v>
      </c>
      <c r="M53" s="118">
        <f t="shared" si="14"/>
        <v>0</v>
      </c>
      <c r="N53" s="90">
        <f>+SUM($H$10:H53)</f>
        <v>0</v>
      </c>
      <c r="O53" s="120">
        <f t="shared" si="17"/>
        <v>0</v>
      </c>
    </row>
    <row r="54" spans="2:15" s="84" customFormat="1" ht="12.75">
      <c r="B54" s="75">
        <f>IF((Tasas!B58&gt;1%),(Tasas!B58),(0%))</f>
        <v>0.3081</v>
      </c>
      <c r="C54" s="76">
        <f>IF((Tasas!C58=("")),(""),Tasas!C58)</f>
        <v>42461</v>
      </c>
      <c r="D54" s="77">
        <f>IF((Tasas!D58=("")),(""),Tasas!D58)</f>
        <v>42551</v>
      </c>
      <c r="E54" s="78">
        <f t="shared" si="18"/>
        <v>42551</v>
      </c>
      <c r="F54" s="79">
        <f t="shared" si="16"/>
        <v>0.0008441095890410959</v>
      </c>
      <c r="G54" s="80">
        <f t="shared" si="11"/>
        <v>0</v>
      </c>
      <c r="H54" s="81">
        <f t="shared" si="12"/>
        <v>0</v>
      </c>
      <c r="I54" s="81">
        <f t="shared" si="15"/>
        <v>10000000</v>
      </c>
      <c r="J54" s="82">
        <f t="shared" si="13"/>
        <v>0</v>
      </c>
      <c r="K54" s="83"/>
      <c r="L54" s="121">
        <f t="shared" si="4"/>
        <v>21.3</v>
      </c>
      <c r="M54" s="118">
        <f t="shared" si="14"/>
        <v>0</v>
      </c>
      <c r="N54" s="90">
        <f>+SUM($H$10:H54)</f>
        <v>0</v>
      </c>
      <c r="O54" s="120">
        <f t="shared" si="17"/>
        <v>0</v>
      </c>
    </row>
    <row r="55" spans="2:15" s="84" customFormat="1" ht="12.75">
      <c r="B55" s="75">
        <f>IF((Tasas!B59&gt;1%),(Tasas!B59),(0%))</f>
        <v>0.3201</v>
      </c>
      <c r="C55" s="76">
        <f>IF((Tasas!C59=("")),(""),Tasas!C59)</f>
        <v>42552</v>
      </c>
      <c r="D55" s="77">
        <f>IF((Tasas!D59=("")),(""),Tasas!D59)</f>
        <v>42643</v>
      </c>
      <c r="E55" s="78">
        <f t="shared" si="18"/>
        <v>42643</v>
      </c>
      <c r="F55" s="79">
        <f t="shared" si="16"/>
        <v>0.000876986301369863</v>
      </c>
      <c r="G55" s="80">
        <f t="shared" si="11"/>
        <v>0</v>
      </c>
      <c r="H55" s="81">
        <f t="shared" si="12"/>
        <v>0</v>
      </c>
      <c r="I55" s="81">
        <f t="shared" si="15"/>
        <v>10000000</v>
      </c>
      <c r="J55" s="82">
        <f t="shared" si="13"/>
        <v>0</v>
      </c>
      <c r="K55" s="83"/>
      <c r="L55" s="121">
        <f t="shared" si="4"/>
        <v>21.3</v>
      </c>
      <c r="M55" s="118">
        <f t="shared" si="14"/>
        <v>0</v>
      </c>
      <c r="N55" s="90">
        <f>+SUM($H$10:H55)</f>
        <v>0</v>
      </c>
      <c r="O55" s="120">
        <f t="shared" si="17"/>
        <v>0</v>
      </c>
    </row>
    <row r="56" spans="2:15" s="84" customFormat="1" ht="12.75">
      <c r="B56" s="75">
        <f>IF((Tasas!B60&gt;1%),(Tasas!B60),(0%))</f>
        <v>0.3299</v>
      </c>
      <c r="C56" s="76">
        <f>IF((Tasas!C60=("")),(""),Tasas!C60)</f>
        <v>42644</v>
      </c>
      <c r="D56" s="77">
        <f>IF((Tasas!D60=("")),(""),Tasas!D60)</f>
        <v>42735</v>
      </c>
      <c r="E56" s="78">
        <f t="shared" si="18"/>
        <v>42735</v>
      </c>
      <c r="F56" s="79">
        <f t="shared" si="16"/>
        <v>0.0009038356164383563</v>
      </c>
      <c r="G56" s="80">
        <f t="shared" si="11"/>
        <v>0</v>
      </c>
      <c r="H56" s="81">
        <f t="shared" si="12"/>
        <v>0</v>
      </c>
      <c r="I56" s="81">
        <f t="shared" si="15"/>
        <v>10000000</v>
      </c>
      <c r="J56" s="82">
        <f t="shared" si="13"/>
        <v>0</v>
      </c>
      <c r="K56" s="83"/>
      <c r="L56" s="121">
        <f t="shared" si="4"/>
        <v>21.3</v>
      </c>
      <c r="M56" s="118">
        <f t="shared" si="14"/>
        <v>0</v>
      </c>
      <c r="N56" s="90">
        <f>+SUM($H$10:H56)</f>
        <v>0</v>
      </c>
      <c r="O56" s="120">
        <f t="shared" si="17"/>
        <v>0</v>
      </c>
    </row>
    <row r="57" spans="2:15" s="84" customFormat="1" ht="12.75">
      <c r="B57" s="75">
        <f>IF((Tasas!B61&gt;1%),(Tasas!B61),(0%))</f>
        <v>0.3151</v>
      </c>
      <c r="C57" s="76">
        <f>IF((Tasas!C61=("")),(""),Tasas!C61)</f>
        <v>42736</v>
      </c>
      <c r="D57" s="77">
        <f>IF((Tasas!D61=("")),(""),Tasas!D61)</f>
        <v>42825</v>
      </c>
      <c r="E57" s="78">
        <f t="shared" si="18"/>
        <v>42825</v>
      </c>
      <c r="F57" s="79">
        <f>+B57/365</f>
        <v>0.0008632876712328767</v>
      </c>
      <c r="G57" s="80">
        <f>IF($C$5&gt;E57,0,E57-$C$5-J56)</f>
        <v>0</v>
      </c>
      <c r="H57" s="81">
        <f>+ROUND(($B$5*F57*G57),-3)</f>
        <v>0</v>
      </c>
      <c r="I57" s="81">
        <f>+I56+H57</f>
        <v>10000000</v>
      </c>
      <c r="J57" s="82">
        <f>+IF(G57=(""),(""),(G57+J56))</f>
        <v>0</v>
      </c>
      <c r="K57" s="83"/>
      <c r="L57" s="121">
        <f t="shared" si="4"/>
        <v>21.3</v>
      </c>
      <c r="M57" s="118">
        <f t="shared" si="14"/>
        <v>0</v>
      </c>
      <c r="N57" s="90">
        <f>+SUM($H$10:H57)</f>
        <v>0</v>
      </c>
      <c r="O57" s="120">
        <f t="shared" si="17"/>
        <v>0</v>
      </c>
    </row>
    <row r="58" spans="2:15" s="84" customFormat="1" ht="12.75">
      <c r="B58" s="75">
        <f>IF((Tasas!B62&gt;1%),(Tasas!B62),(0%))</f>
        <v>0.315</v>
      </c>
      <c r="C58" s="76">
        <f>IF((Tasas!C62=("")),(""),Tasas!C62)</f>
        <v>42826</v>
      </c>
      <c r="D58" s="77">
        <f>IF((Tasas!D62=("")),(""),Tasas!D62)</f>
        <v>42916</v>
      </c>
      <c r="E58" s="78">
        <f t="shared" si="18"/>
        <v>42916</v>
      </c>
      <c r="F58" s="79">
        <f>+B58/365</f>
        <v>0.000863013698630137</v>
      </c>
      <c r="G58" s="80">
        <f>IF($C$5&gt;E58,0,E58-$C$5-J57)</f>
        <v>0</v>
      </c>
      <c r="H58" s="81">
        <f>+ROUND(($B$5*F58*G58),-3)</f>
        <v>0</v>
      </c>
      <c r="I58" s="81">
        <f>+I57+H58</f>
        <v>10000000</v>
      </c>
      <c r="J58" s="82">
        <f>+IF(G58=(""),(""),(G58+J57))</f>
        <v>0</v>
      </c>
      <c r="K58" s="83"/>
      <c r="L58" s="121">
        <f t="shared" si="4"/>
        <v>21.3</v>
      </c>
      <c r="M58" s="118">
        <f t="shared" si="14"/>
        <v>0</v>
      </c>
      <c r="N58" s="90">
        <f>+SUM($H$10:H58)</f>
        <v>0</v>
      </c>
      <c r="O58" s="120">
        <f t="shared" si="17"/>
        <v>0</v>
      </c>
    </row>
    <row r="59" spans="2:15" s="84" customFormat="1" ht="12.75">
      <c r="B59" s="75">
        <f>IF((Tasas!B63&gt;1%),(Tasas!B63),(0%))</f>
        <v>0.3097</v>
      </c>
      <c r="C59" s="76">
        <f>IF((Tasas!C63=("")),(""),Tasas!C63)</f>
        <v>42917</v>
      </c>
      <c r="D59" s="77">
        <f>IF((Tasas!D63=("")),(""),Tasas!D63)</f>
        <v>42978</v>
      </c>
      <c r="E59" s="78">
        <f t="shared" si="18"/>
        <v>42978</v>
      </c>
      <c r="F59" s="79">
        <f>+B59/365</f>
        <v>0.0008484931506849314</v>
      </c>
      <c r="G59" s="80">
        <f>IF($C$5&gt;E59,0,E59-$C$5-J58)</f>
        <v>0</v>
      </c>
      <c r="H59" s="81">
        <f>+ROUND(($B$5*F59*G59),-3)</f>
        <v>0</v>
      </c>
      <c r="I59" s="81">
        <f>+I58+H59</f>
        <v>10000000</v>
      </c>
      <c r="J59" s="82">
        <f>+IF(G59=(""),(""),(G59+J58))</f>
        <v>0</v>
      </c>
      <c r="K59" s="83"/>
      <c r="L59" s="121">
        <f t="shared" si="4"/>
        <v>21.3</v>
      </c>
      <c r="M59" s="118">
        <f t="shared" si="14"/>
        <v>0</v>
      </c>
      <c r="N59" s="90">
        <f>+SUM($H$10:H59)</f>
        <v>0</v>
      </c>
      <c r="O59" s="120">
        <f t="shared" si="17"/>
        <v>0</v>
      </c>
    </row>
    <row r="60" spans="2:15" s="84" customFormat="1" ht="12.75">
      <c r="B60" s="75">
        <f>IF((Tasas!B64&gt;1%),(Tasas!B64),(0%))</f>
        <v>0.3022</v>
      </c>
      <c r="C60" s="76">
        <f>IF((Tasas!C64=("")),(""),Tasas!C64)</f>
        <v>42979</v>
      </c>
      <c r="D60" s="77">
        <f>IF((Tasas!D64=("")),(""),Tasas!D64)</f>
        <v>43008</v>
      </c>
      <c r="E60" s="78">
        <f t="shared" si="18"/>
        <v>43008</v>
      </c>
      <c r="F60" s="79">
        <f>+B60/365</f>
        <v>0.0008279452054794521</v>
      </c>
      <c r="G60" s="80">
        <f>IF($C$5&gt;E60,0,E60-$C$5-J59)</f>
        <v>0</v>
      </c>
      <c r="H60" s="81">
        <f>+ROUND(($B$5*F60*G60),-3)</f>
        <v>0</v>
      </c>
      <c r="I60" s="81">
        <f>+I59+H60</f>
        <v>10000000</v>
      </c>
      <c r="J60" s="82">
        <f>+IF(G60=(""),(""),(G60+J59))</f>
        <v>0</v>
      </c>
      <c r="K60" s="83"/>
      <c r="L60" s="121">
        <f t="shared" si="4"/>
        <v>21.3</v>
      </c>
      <c r="M60" s="118">
        <f t="shared" si="14"/>
        <v>0</v>
      </c>
      <c r="N60" s="90">
        <f>+SUM($H$10:H60)</f>
        <v>0</v>
      </c>
      <c r="O60" s="120">
        <f t="shared" si="17"/>
        <v>0</v>
      </c>
    </row>
    <row r="61" spans="2:15" s="84" customFormat="1" ht="12.75">
      <c r="B61" s="75">
        <f>IF((Tasas!B65&gt;1%),(Tasas!B65),(0%))</f>
        <v>0.2973</v>
      </c>
      <c r="C61" s="76">
        <f>IF((Tasas!C65=("")),(""),Tasas!C65)</f>
        <v>43009</v>
      </c>
      <c r="D61" s="77">
        <f>IF((Tasas!D65=("")),(""),Tasas!D65)</f>
        <v>43039</v>
      </c>
      <c r="E61" s="78">
        <f aca="true" t="shared" si="19" ref="E61:E66">IF((C61=""),1101,(IF($E$5&lt;D61,$E$5,D61)))</f>
        <v>43039</v>
      </c>
      <c r="F61" s="79">
        <f aca="true" t="shared" si="20" ref="F61:F66">+B61/365</f>
        <v>0.0008145205479452055</v>
      </c>
      <c r="G61" s="80">
        <f aca="true" t="shared" si="21" ref="G61:G66">IF($C$5&gt;E61,0,E61-$C$5-J60)</f>
        <v>0</v>
      </c>
      <c r="H61" s="81">
        <f aca="true" t="shared" si="22" ref="H61:H66">+ROUND(($B$5*F61*G61),-3)</f>
        <v>0</v>
      </c>
      <c r="I61" s="81">
        <f aca="true" t="shared" si="23" ref="I61:I66">+I60+H61</f>
        <v>10000000</v>
      </c>
      <c r="J61" s="82">
        <f aca="true" t="shared" si="24" ref="J61:J66">+IF(G61=(""),(""),(G61+J60))</f>
        <v>0</v>
      </c>
      <c r="K61" s="83"/>
      <c r="L61" s="121">
        <f t="shared" si="4"/>
        <v>21.3</v>
      </c>
      <c r="M61" s="118">
        <f t="shared" si="14"/>
        <v>0</v>
      </c>
      <c r="N61" s="90">
        <f>+SUM($H$10:H61)</f>
        <v>0</v>
      </c>
      <c r="O61" s="120">
        <f t="shared" si="17"/>
        <v>0</v>
      </c>
    </row>
    <row r="62" spans="2:15" s="84" customFormat="1" ht="12.75">
      <c r="B62" s="75">
        <f>IF((Tasas!B66&gt;1%),(Tasas!B66),(0%))</f>
        <v>0.2944</v>
      </c>
      <c r="C62" s="76">
        <f>IF((Tasas!C66=("")),(""),Tasas!C66)</f>
        <v>43040</v>
      </c>
      <c r="D62" s="77">
        <f>IF((Tasas!D66=("")),(""),Tasas!D66)</f>
        <v>43069</v>
      </c>
      <c r="E62" s="78">
        <f t="shared" si="19"/>
        <v>43069</v>
      </c>
      <c r="F62" s="79">
        <f t="shared" si="20"/>
        <v>0.0008065753424657534</v>
      </c>
      <c r="G62" s="80">
        <f t="shared" si="21"/>
        <v>0</v>
      </c>
      <c r="H62" s="81">
        <f t="shared" si="22"/>
        <v>0</v>
      </c>
      <c r="I62" s="81">
        <f t="shared" si="23"/>
        <v>10000000</v>
      </c>
      <c r="J62" s="82">
        <f t="shared" si="24"/>
        <v>0</v>
      </c>
      <c r="K62" s="83"/>
      <c r="L62" s="121">
        <f t="shared" si="4"/>
        <v>21.3</v>
      </c>
      <c r="M62" s="118">
        <f t="shared" si="14"/>
        <v>0</v>
      </c>
      <c r="N62" s="90">
        <f>+SUM($H$10:H62)</f>
        <v>0</v>
      </c>
      <c r="O62" s="120">
        <f t="shared" si="17"/>
        <v>0</v>
      </c>
    </row>
    <row r="63" spans="2:15" s="84" customFormat="1" ht="12.75">
      <c r="B63" s="75">
        <f>IF((Tasas!B67&gt;1%),(Tasas!B67),(0%))</f>
        <v>0.2916</v>
      </c>
      <c r="C63" s="76">
        <f>IF((Tasas!C67=("")),(""),Tasas!C67)</f>
        <v>43070</v>
      </c>
      <c r="D63" s="77">
        <f>IF((Tasas!D67=("")),(""),Tasas!D67)</f>
        <v>43100</v>
      </c>
      <c r="E63" s="78">
        <f t="shared" si="19"/>
        <v>43100</v>
      </c>
      <c r="F63" s="79">
        <f t="shared" si="20"/>
        <v>0.0007989041095890412</v>
      </c>
      <c r="G63" s="80">
        <f t="shared" si="21"/>
        <v>0</v>
      </c>
      <c r="H63" s="81">
        <f t="shared" si="22"/>
        <v>0</v>
      </c>
      <c r="I63" s="81">
        <f t="shared" si="23"/>
        <v>10000000</v>
      </c>
      <c r="J63" s="82">
        <f t="shared" si="24"/>
        <v>0</v>
      </c>
      <c r="K63" s="83"/>
      <c r="L63" s="121">
        <f t="shared" si="4"/>
        <v>21.3</v>
      </c>
      <c r="M63" s="118">
        <f t="shared" si="14"/>
        <v>0</v>
      </c>
      <c r="N63" s="90">
        <f>+SUM($H$10:H63)</f>
        <v>0</v>
      </c>
      <c r="O63" s="120">
        <f t="shared" si="17"/>
        <v>0</v>
      </c>
    </row>
    <row r="64" spans="2:15" s="84" customFormat="1" ht="12.75">
      <c r="B64" s="75">
        <f>IF((Tasas!B68&gt;1%),(Tasas!B68),(0%))</f>
        <v>0.2904</v>
      </c>
      <c r="C64" s="76">
        <f>IF((Tasas!C68=("")),(""),Tasas!C68)</f>
        <v>43101</v>
      </c>
      <c r="D64" s="77">
        <f>IF((Tasas!D68=("")),(""),Tasas!D68)</f>
        <v>43131</v>
      </c>
      <c r="E64" s="78">
        <f t="shared" si="19"/>
        <v>43131</v>
      </c>
      <c r="F64" s="79">
        <f t="shared" si="20"/>
        <v>0.0007956164383561644</v>
      </c>
      <c r="G64" s="80">
        <f t="shared" si="21"/>
        <v>0</v>
      </c>
      <c r="H64" s="81">
        <f t="shared" si="22"/>
        <v>0</v>
      </c>
      <c r="I64" s="81">
        <f t="shared" si="23"/>
        <v>10000000</v>
      </c>
      <c r="J64" s="82">
        <f t="shared" si="24"/>
        <v>0</v>
      </c>
      <c r="K64" s="83"/>
      <c r="L64" s="121">
        <f t="shared" si="4"/>
        <v>21.3</v>
      </c>
      <c r="M64" s="118">
        <f t="shared" si="14"/>
        <v>0</v>
      </c>
      <c r="N64" s="90">
        <f>+SUM($H$10:H64)</f>
        <v>0</v>
      </c>
      <c r="O64" s="120">
        <f t="shared" si="17"/>
        <v>0</v>
      </c>
    </row>
    <row r="65" spans="2:15" s="84" customFormat="1" ht="12.75">
      <c r="B65" s="75">
        <f>IF((Tasas!B69&gt;1%),(Tasas!B69),(0%))</f>
        <v>0.2952</v>
      </c>
      <c r="C65" s="76">
        <f>IF((Tasas!C69=("")),(""),Tasas!C69)</f>
        <v>43132</v>
      </c>
      <c r="D65" s="77">
        <f>IF((Tasas!D69=("")),(""),Tasas!D69)</f>
        <v>43159</v>
      </c>
      <c r="E65" s="78">
        <f t="shared" si="19"/>
        <v>43159</v>
      </c>
      <c r="F65" s="79">
        <f t="shared" si="20"/>
        <v>0.0008087671232876713</v>
      </c>
      <c r="G65" s="80">
        <f t="shared" si="21"/>
        <v>0</v>
      </c>
      <c r="H65" s="81">
        <f t="shared" si="22"/>
        <v>0</v>
      </c>
      <c r="I65" s="81">
        <f t="shared" si="23"/>
        <v>10000000</v>
      </c>
      <c r="J65" s="82">
        <f t="shared" si="24"/>
        <v>0</v>
      </c>
      <c r="K65" s="83"/>
      <c r="L65" s="121">
        <f t="shared" si="4"/>
        <v>21.3</v>
      </c>
      <c r="M65" s="118">
        <f t="shared" si="14"/>
        <v>0</v>
      </c>
      <c r="N65" s="90">
        <f>+SUM($H$10:H65)</f>
        <v>0</v>
      </c>
      <c r="O65" s="120">
        <f t="shared" si="17"/>
        <v>0</v>
      </c>
    </row>
    <row r="66" spans="2:15" s="84" customFormat="1" ht="12.75">
      <c r="B66" s="75">
        <f>IF((Tasas!B70&gt;1%),(Tasas!B70),(0%))</f>
        <v>0.2902</v>
      </c>
      <c r="C66" s="76">
        <f>IF((Tasas!C70=("")),(""),Tasas!C70)</f>
        <v>43160</v>
      </c>
      <c r="D66" s="77">
        <f>IF((Tasas!D70=("")),(""),Tasas!D70)</f>
        <v>43190</v>
      </c>
      <c r="E66" s="78">
        <f t="shared" si="19"/>
        <v>43190</v>
      </c>
      <c r="F66" s="79">
        <f t="shared" si="20"/>
        <v>0.000795068493150685</v>
      </c>
      <c r="G66" s="80">
        <f t="shared" si="21"/>
        <v>0</v>
      </c>
      <c r="H66" s="81">
        <f t="shared" si="22"/>
        <v>0</v>
      </c>
      <c r="I66" s="81">
        <f t="shared" si="23"/>
        <v>10000000</v>
      </c>
      <c r="J66" s="82">
        <f t="shared" si="24"/>
        <v>0</v>
      </c>
      <c r="K66" s="83"/>
      <c r="L66" s="121">
        <f t="shared" si="4"/>
        <v>21.3</v>
      </c>
      <c r="M66" s="118">
        <f t="shared" si="14"/>
        <v>0</v>
      </c>
      <c r="N66" s="90">
        <f>+SUM($H$10:H66)</f>
        <v>0</v>
      </c>
      <c r="O66" s="120">
        <f t="shared" si="17"/>
        <v>0</v>
      </c>
    </row>
    <row r="67" spans="2:15" s="84" customFormat="1" ht="12.75">
      <c r="B67" s="75">
        <f>IF((Tasas!B71&gt;1%),(Tasas!B71),(0%))</f>
        <v>0.2872</v>
      </c>
      <c r="C67" s="76">
        <f>IF((Tasas!C71=("")),(""),Tasas!C71)</f>
        <v>43191</v>
      </c>
      <c r="D67" s="77">
        <f>IF((Tasas!D71=("")),(""),Tasas!D71)</f>
        <v>43220</v>
      </c>
      <c r="E67" s="78">
        <f>IF((C67=""),1101,(IF($E$5&lt;D67,$E$5,D67)))</f>
        <v>43220</v>
      </c>
      <c r="F67" s="79">
        <f>+B67/365</f>
        <v>0.0007868493150684932</v>
      </c>
      <c r="G67" s="80">
        <f>IF($C$5&gt;E67,0,E67-$C$5-J66)</f>
        <v>15</v>
      </c>
      <c r="H67" s="81">
        <f>+ROUND(($B$5*F67*G67),-3)</f>
        <v>118000</v>
      </c>
      <c r="I67" s="81">
        <f>+I66+H67</f>
        <v>10118000</v>
      </c>
      <c r="J67" s="82">
        <f>+IF(G67=(""),(""),(G67+J66))</f>
        <v>15</v>
      </c>
      <c r="K67" s="83"/>
      <c r="L67" s="121">
        <f t="shared" si="4"/>
        <v>21.3</v>
      </c>
      <c r="M67" s="118">
        <f t="shared" si="14"/>
        <v>79670.4729946196</v>
      </c>
      <c r="N67" s="90">
        <f>+SUM($H$10:H67)</f>
        <v>118000</v>
      </c>
      <c r="O67" s="120">
        <f t="shared" si="17"/>
        <v>38329.5270053804</v>
      </c>
    </row>
    <row r="68" spans="2:15" s="84" customFormat="1" ht="12.75">
      <c r="B68" s="75">
        <f>IF((Tasas!B72&gt;1%),(Tasas!B72),(0%))</f>
        <v>0.2866</v>
      </c>
      <c r="C68" s="76">
        <f>IF((Tasas!C72=("")),(""),Tasas!C72)</f>
        <v>43221</v>
      </c>
      <c r="D68" s="77">
        <f>IF((Tasas!D72=("")),(""),Tasas!D72)</f>
        <v>43251</v>
      </c>
      <c r="E68" s="78">
        <f>IF((C68=""),1101,(IF($E$5&lt;D68,$E$5,D68)))</f>
        <v>43251</v>
      </c>
      <c r="F68" s="79">
        <f>+B68/365</f>
        <v>0.0007852054794520549</v>
      </c>
      <c r="G68" s="80">
        <f>IF($C$5&gt;E68,0,E68-$C$5-J67)</f>
        <v>31</v>
      </c>
      <c r="H68" s="81">
        <f>+ROUND(($B$5*F68*G68),-3)</f>
        <v>243000</v>
      </c>
      <c r="I68" s="81">
        <f>+I67+H68</f>
        <v>10361000</v>
      </c>
      <c r="J68" s="82">
        <f>+IF(G68=(""),(""),(G68+J67))</f>
        <v>46</v>
      </c>
      <c r="K68" s="83"/>
      <c r="L68" s="121">
        <f t="shared" si="4"/>
        <v>21.3</v>
      </c>
      <c r="M68" s="118">
        <f t="shared" si="14"/>
        <v>246339.89794640153</v>
      </c>
      <c r="N68" s="90">
        <f>+SUM($H$10:H68)</f>
        <v>361000</v>
      </c>
      <c r="O68" s="120">
        <f t="shared" si="17"/>
        <v>114660.10205359847</v>
      </c>
    </row>
    <row r="69" spans="2:15" s="84" customFormat="1" ht="12.75">
      <c r="B69" s="75">
        <f>IF((Tasas!B73&gt;1%),(Tasas!B73),(0%))</f>
        <v>0.2842</v>
      </c>
      <c r="C69" s="76">
        <f>IF((Tasas!C73=("")),(""),Tasas!C73)</f>
        <v>43252</v>
      </c>
      <c r="D69" s="77">
        <f>IF((Tasas!D73=("")),(""),Tasas!D73)</f>
        <v>43281</v>
      </c>
      <c r="E69" s="78">
        <f>IF((C69=""),1101,(IF($E$5&lt;D69,$E$5,D69)))</f>
        <v>43281</v>
      </c>
      <c r="F69" s="79">
        <f>+B69/365</f>
        <v>0.0007786301369863014</v>
      </c>
      <c r="G69" s="80">
        <f>IF($C$5&gt;E69,0,E69-$C$5-J68)</f>
        <v>30</v>
      </c>
      <c r="H69" s="81">
        <f>+ROUND(($B$5*F69*G69),-3)</f>
        <v>234000</v>
      </c>
      <c r="I69" s="81">
        <f>+I68+H69</f>
        <v>10595000</v>
      </c>
      <c r="J69" s="82">
        <f>+IF(G69=(""),(""),(G69+J68))</f>
        <v>76</v>
      </c>
      <c r="K69" s="83"/>
      <c r="L69" s="121">
        <f t="shared" si="4"/>
        <v>21.3</v>
      </c>
      <c r="M69" s="118">
        <f t="shared" si="14"/>
        <v>410256.42173965427</v>
      </c>
      <c r="N69" s="90">
        <f>+SUM($H$10:H69)</f>
        <v>595000</v>
      </c>
      <c r="O69" s="120">
        <f t="shared" si="17"/>
        <v>184743.57826034573</v>
      </c>
    </row>
    <row r="70" spans="2:15" s="84" customFormat="1" ht="12.75">
      <c r="B70" s="75">
        <f>IF((Tasas!B74&gt;1%),(Tasas!B74),(0%))</f>
        <v>0.2805</v>
      </c>
      <c r="C70" s="76">
        <f>IF((Tasas!C74=("")),(""),Tasas!C74)</f>
        <v>43282</v>
      </c>
      <c r="D70" s="77">
        <f>IF((Tasas!D74=("")),(""),Tasas!D74)</f>
        <v>43312</v>
      </c>
      <c r="E70" s="78">
        <f>IF((C70=""),1101,(IF($E$5&lt;D70,$E$5,D70)))</f>
        <v>43312</v>
      </c>
      <c r="F70" s="79">
        <f>+B70/365</f>
        <v>0.0007684931506849316</v>
      </c>
      <c r="G70" s="80">
        <f>IF($C$5&gt;E70,0,E70-$C$5-J69)</f>
        <v>31</v>
      </c>
      <c r="H70" s="81">
        <f>+ROUND(($B$5*F70*G70),-3)</f>
        <v>238000</v>
      </c>
      <c r="I70" s="81">
        <f>+I69+H70</f>
        <v>10833000</v>
      </c>
      <c r="J70" s="82">
        <f>+IF(G70=(""),(""),(G70+J69))</f>
        <v>107</v>
      </c>
      <c r="K70" s="83"/>
      <c r="L70" s="121">
        <f t="shared" si="4"/>
        <v>21.3</v>
      </c>
      <c r="M70" s="118">
        <f t="shared" si="14"/>
        <v>582392.1533650589</v>
      </c>
      <c r="N70" s="90">
        <f>+SUM($H$10:H70)</f>
        <v>833000</v>
      </c>
      <c r="O70" s="120">
        <f t="shared" si="17"/>
        <v>250607.84663494106</v>
      </c>
    </row>
    <row r="71" spans="2:15" s="84" customFormat="1" ht="12.75">
      <c r="B71" s="75">
        <f>IF((Tasas!B75&gt;1%),(Tasas!B75),(0%))</f>
        <v>0.2791</v>
      </c>
      <c r="C71" s="76">
        <f>IF((Tasas!C75=("")),(""),Tasas!C75)</f>
        <v>43313</v>
      </c>
      <c r="D71" s="77">
        <f>IF((Tasas!D75=("")),(""),Tasas!D75)</f>
        <v>43343</v>
      </c>
      <c r="E71" s="78">
        <f aca="true" t="shared" si="25" ref="E71:E86">IF((C71=""),1101,(IF($E$5&lt;D71,$E$5,D71)))</f>
        <v>43343</v>
      </c>
      <c r="F71" s="79">
        <f aca="true" t="shared" si="26" ref="F71:F86">+B71/365</f>
        <v>0.0007646575342465753</v>
      </c>
      <c r="G71" s="80">
        <f aca="true" t="shared" si="27" ref="G71:G86">IF($C$5&gt;E71,0,E71-$C$5-J70)</f>
        <v>31</v>
      </c>
      <c r="H71" s="81">
        <f aca="true" t="shared" si="28" ref="H71:H86">+ROUND(($B$5*F71*G71),-3)</f>
        <v>237000</v>
      </c>
      <c r="I71" s="81">
        <f aca="true" t="shared" si="29" ref="I71:I86">+I70+H71</f>
        <v>11070000</v>
      </c>
      <c r="J71" s="82">
        <f aca="true" t="shared" si="30" ref="J71:J86">+IF(G71=(""),(""),(G71+J70))</f>
        <v>138</v>
      </c>
      <c r="K71" s="83"/>
      <c r="L71" s="121">
        <f t="shared" si="4"/>
        <v>21.3</v>
      </c>
      <c r="M71" s="118">
        <f t="shared" si="14"/>
        <v>757374.1847262072</v>
      </c>
      <c r="N71" s="90">
        <f>+SUM($H$10:H71)</f>
        <v>1070000</v>
      </c>
      <c r="O71" s="120">
        <f t="shared" si="17"/>
        <v>312625.81527379283</v>
      </c>
    </row>
    <row r="72" spans="2:15" s="84" customFormat="1" ht="12.75">
      <c r="B72" s="75">
        <f>IF((Tasas!B76&gt;1%),(Tasas!B76),(0%))</f>
        <v>0.2772</v>
      </c>
      <c r="C72" s="76">
        <f>IF((Tasas!C76=("")),(""),Tasas!C76)</f>
        <v>43344</v>
      </c>
      <c r="D72" s="77">
        <f>IF((Tasas!D76=("")),(""),Tasas!D76)</f>
        <v>43373</v>
      </c>
      <c r="E72" s="78">
        <f t="shared" si="25"/>
        <v>43373</v>
      </c>
      <c r="F72" s="79">
        <f t="shared" si="26"/>
        <v>0.0007594520547945206</v>
      </c>
      <c r="G72" s="80">
        <f t="shared" si="27"/>
        <v>30</v>
      </c>
      <c r="H72" s="81">
        <f t="shared" si="28"/>
        <v>228000</v>
      </c>
      <c r="I72" s="81">
        <f t="shared" si="29"/>
        <v>11298000</v>
      </c>
      <c r="J72" s="82">
        <f t="shared" si="30"/>
        <v>168</v>
      </c>
      <c r="K72" s="83"/>
      <c r="L72" s="121">
        <f t="shared" si="4"/>
        <v>21.3</v>
      </c>
      <c r="M72" s="118">
        <f t="shared" si="14"/>
        <v>929466.0144982237</v>
      </c>
      <c r="N72" s="90">
        <f>+SUM($H$10:H72)</f>
        <v>1298000</v>
      </c>
      <c r="O72" s="120">
        <f t="shared" si="17"/>
        <v>368533.98550177633</v>
      </c>
    </row>
    <row r="73" spans="2:15" s="84" customFormat="1" ht="12.75">
      <c r="B73" s="75">
        <f>IF((Tasas!B77&gt;1%),(Tasas!B77),(0%))</f>
        <v>0.2745</v>
      </c>
      <c r="C73" s="76">
        <f>IF((Tasas!C77=("")),(""),Tasas!C77)</f>
        <v>43374</v>
      </c>
      <c r="D73" s="77">
        <f>IF((Tasas!D77=("")),(""),Tasas!D77)</f>
        <v>43404</v>
      </c>
      <c r="E73" s="78">
        <f t="shared" si="25"/>
        <v>43404</v>
      </c>
      <c r="F73" s="79">
        <f t="shared" si="26"/>
        <v>0.000752054794520548</v>
      </c>
      <c r="G73" s="80">
        <f t="shared" si="27"/>
        <v>31</v>
      </c>
      <c r="H73" s="81">
        <f t="shared" si="28"/>
        <v>233000</v>
      </c>
      <c r="I73" s="81">
        <f t="shared" si="29"/>
        <v>11531000</v>
      </c>
      <c r="J73" s="82">
        <f t="shared" si="30"/>
        <v>199</v>
      </c>
      <c r="K73" s="83"/>
      <c r="L73" s="121">
        <f t="shared" si="4"/>
        <v>21.3</v>
      </c>
      <c r="M73" s="118">
        <f t="shared" si="14"/>
        <v>1110186.983556376</v>
      </c>
      <c r="N73" s="90">
        <f>+SUM($H$10:H73)</f>
        <v>1531000</v>
      </c>
      <c r="O73" s="120">
        <f t="shared" si="17"/>
        <v>420813.0164436239</v>
      </c>
    </row>
    <row r="74" spans="2:15" s="84" customFormat="1" ht="12.75">
      <c r="B74" s="75">
        <f>IF((Tasas!B78&gt;1%),(Tasas!B78),(0%))</f>
        <v>0.2724</v>
      </c>
      <c r="C74" s="76">
        <f>IF((Tasas!C78=("")),(""),Tasas!C78)</f>
        <v>43405</v>
      </c>
      <c r="D74" s="77">
        <f>IF((Tasas!D78=("")),(""),Tasas!D78)</f>
        <v>43434</v>
      </c>
      <c r="E74" s="78">
        <f t="shared" si="25"/>
        <v>43434</v>
      </c>
      <c r="F74" s="79">
        <f t="shared" si="26"/>
        <v>0.0007463013698630136</v>
      </c>
      <c r="G74" s="80">
        <f t="shared" si="27"/>
        <v>30</v>
      </c>
      <c r="H74" s="81">
        <f t="shared" si="28"/>
        <v>224000</v>
      </c>
      <c r="I74" s="81">
        <f t="shared" si="29"/>
        <v>11755000</v>
      </c>
      <c r="J74" s="82">
        <f t="shared" si="30"/>
        <v>229</v>
      </c>
      <c r="K74" s="83"/>
      <c r="L74" s="121">
        <f t="shared" si="4"/>
        <v>21.3</v>
      </c>
      <c r="M74" s="118">
        <f t="shared" si="14"/>
        <v>1287922.9602247477</v>
      </c>
      <c r="N74" s="90">
        <f>+SUM($H$10:H74)</f>
        <v>1755000</v>
      </c>
      <c r="O74" s="120">
        <f t="shared" si="17"/>
        <v>467077.03977525234</v>
      </c>
    </row>
    <row r="75" spans="2:15" s="84" customFormat="1" ht="12.75">
      <c r="B75" s="75">
        <f>IF((Tasas!B79&gt;1%),(Tasas!B79),(0%))</f>
        <v>0.271</v>
      </c>
      <c r="C75" s="76">
        <f>IF((Tasas!C79=("")),(""),Tasas!C79)</f>
        <v>43435</v>
      </c>
      <c r="D75" s="77">
        <f>IF((Tasas!D79=("")),(""),Tasas!D79)</f>
        <v>43465</v>
      </c>
      <c r="E75" s="78">
        <f t="shared" si="25"/>
        <v>43465</v>
      </c>
      <c r="F75" s="79">
        <f t="shared" si="26"/>
        <v>0.0007424657534246576</v>
      </c>
      <c r="G75" s="80">
        <f t="shared" si="27"/>
        <v>31</v>
      </c>
      <c r="H75" s="81">
        <f t="shared" si="28"/>
        <v>230000</v>
      </c>
      <c r="I75" s="81">
        <f t="shared" si="29"/>
        <v>11985000</v>
      </c>
      <c r="J75" s="82">
        <f t="shared" si="30"/>
        <v>260</v>
      </c>
      <c r="K75" s="83"/>
      <c r="L75" s="121">
        <f t="shared" si="4"/>
        <v>21.3</v>
      </c>
      <c r="M75" s="118">
        <f t="shared" si="14"/>
        <v>1474571.0886254893</v>
      </c>
      <c r="N75" s="90">
        <f>+SUM($H$10:H75)</f>
        <v>1985000</v>
      </c>
      <c r="O75" s="120">
        <f t="shared" si="17"/>
        <v>510428.91137451073</v>
      </c>
    </row>
    <row r="76" spans="2:15" s="84" customFormat="1" ht="12.75">
      <c r="B76" s="75">
        <f>IF((Tasas!B80&gt;1%),(Tasas!B80),(0%))</f>
        <v>0.2674</v>
      </c>
      <c r="C76" s="76">
        <f>IF((Tasas!C80=("")),(""),Tasas!C80)</f>
        <v>43466</v>
      </c>
      <c r="D76" s="77">
        <f>IF((Tasas!D80=("")),(""),Tasas!D80)</f>
        <v>43496</v>
      </c>
      <c r="E76" s="78">
        <f t="shared" si="25"/>
        <v>43496</v>
      </c>
      <c r="F76" s="79">
        <f t="shared" si="26"/>
        <v>0.0007326027397260275</v>
      </c>
      <c r="G76" s="80">
        <f t="shared" si="27"/>
        <v>31</v>
      </c>
      <c r="H76" s="81">
        <f t="shared" si="28"/>
        <v>227000</v>
      </c>
      <c r="I76" s="81">
        <f t="shared" si="29"/>
        <v>12212000</v>
      </c>
      <c r="J76" s="82">
        <f t="shared" si="30"/>
        <v>291</v>
      </c>
      <c r="K76" s="83"/>
      <c r="L76" s="121">
        <f>+L75</f>
        <v>21.3</v>
      </c>
      <c r="M76" s="118">
        <f t="shared" si="14"/>
        <v>1664305.4822282745</v>
      </c>
      <c r="N76" s="90">
        <f>+SUM($H$10:H76)</f>
        <v>2212000</v>
      </c>
      <c r="O76" s="120">
        <f t="shared" si="17"/>
        <v>547694.5177717255</v>
      </c>
    </row>
    <row r="77" spans="2:15" s="84" customFormat="1" ht="12.75">
      <c r="B77" s="75">
        <f>IF((Tasas!B81&gt;1%),(Tasas!B81),(0%))</f>
        <v>0.2755</v>
      </c>
      <c r="C77" s="76">
        <f>IF((Tasas!C81=("")),(""),Tasas!C81)</f>
        <v>43497</v>
      </c>
      <c r="D77" s="77">
        <f>IF((Tasas!D81=("")),(""),Tasas!D81)</f>
        <v>43524</v>
      </c>
      <c r="E77" s="78">
        <f t="shared" si="25"/>
        <v>43524</v>
      </c>
      <c r="F77" s="79">
        <f t="shared" si="26"/>
        <v>0.0007547945205479453</v>
      </c>
      <c r="G77" s="80">
        <f t="shared" si="27"/>
        <v>28</v>
      </c>
      <c r="H77" s="81">
        <f t="shared" si="28"/>
        <v>211000</v>
      </c>
      <c r="I77" s="81">
        <f t="shared" si="29"/>
        <v>12423000</v>
      </c>
      <c r="J77" s="82">
        <f t="shared" si="30"/>
        <v>319</v>
      </c>
      <c r="K77" s="83"/>
      <c r="L77" s="119">
        <f>+L76</f>
        <v>21.3</v>
      </c>
      <c r="M77" s="118">
        <f t="shared" si="14"/>
        <v>1838373.6249381388</v>
      </c>
      <c r="N77" s="90">
        <f>+SUM($H$10:H77)</f>
        <v>2423000</v>
      </c>
      <c r="O77" s="120">
        <f t="shared" si="17"/>
        <v>584626.3750618612</v>
      </c>
    </row>
    <row r="78" spans="2:15" s="84" customFormat="1" ht="12.75">
      <c r="B78" s="75">
        <f>IF((Tasas!B82&gt;1%),(Tasas!B82),(0%))</f>
        <v>0.2706</v>
      </c>
      <c r="C78" s="76">
        <f>IF((Tasas!C82=("")),(""),Tasas!C82)</f>
        <v>43525</v>
      </c>
      <c r="D78" s="77">
        <f>IF((Tasas!D82=("")),(""),Tasas!D82)</f>
        <v>43555</v>
      </c>
      <c r="E78" s="78">
        <f t="shared" si="25"/>
        <v>43555</v>
      </c>
      <c r="F78" s="79">
        <f t="shared" si="26"/>
        <v>0.0007413698630136987</v>
      </c>
      <c r="G78" s="80">
        <f t="shared" si="27"/>
        <v>31</v>
      </c>
      <c r="H78" s="81">
        <f t="shared" si="28"/>
        <v>230000</v>
      </c>
      <c r="I78" s="81">
        <f t="shared" si="29"/>
        <v>12653000</v>
      </c>
      <c r="J78" s="82">
        <f t="shared" si="30"/>
        <v>350</v>
      </c>
      <c r="K78" s="83"/>
      <c r="L78" s="119">
        <f>+L77</f>
        <v>21.3</v>
      </c>
      <c r="M78" s="118">
        <f t="shared" si="14"/>
        <v>2034123.568323596</v>
      </c>
      <c r="N78" s="90">
        <f>+SUM($H$10:H78)</f>
        <v>2653000</v>
      </c>
      <c r="O78" s="120">
        <f t="shared" si="17"/>
        <v>618876.4316764041</v>
      </c>
    </row>
    <row r="79" spans="2:15" s="84" customFormat="1" ht="12.75">
      <c r="B79" s="75">
        <f>IF((Tasas!B83&gt;1%),(Tasas!B83),(0%))</f>
        <v>0.2698</v>
      </c>
      <c r="C79" s="76">
        <f>IF((Tasas!C83=("")),(""),Tasas!C83)</f>
        <v>43556</v>
      </c>
      <c r="D79" s="77">
        <f>IF((Tasas!D83=("")),(""),Tasas!D83)</f>
        <v>43585</v>
      </c>
      <c r="E79" s="78">
        <f t="shared" si="25"/>
        <v>43585</v>
      </c>
      <c r="F79" s="79">
        <f t="shared" si="26"/>
        <v>0.0007391780821917808</v>
      </c>
      <c r="G79" s="80">
        <f t="shared" si="27"/>
        <v>30</v>
      </c>
      <c r="H79" s="81">
        <f t="shared" si="28"/>
        <v>222000</v>
      </c>
      <c r="I79" s="81">
        <f t="shared" si="29"/>
        <v>12875000</v>
      </c>
      <c r="J79" s="82">
        <f t="shared" si="30"/>
        <v>380</v>
      </c>
      <c r="K79" s="83"/>
      <c r="L79" s="119">
        <f>+L78</f>
        <v>21.3</v>
      </c>
      <c r="M79" s="118">
        <f t="shared" si="14"/>
        <v>2226640.283742476</v>
      </c>
      <c r="N79" s="90">
        <f>+SUM($H$10:H79)</f>
        <v>2875000</v>
      </c>
      <c r="O79" s="120">
        <f t="shared" si="17"/>
        <v>648359.7162575242</v>
      </c>
    </row>
    <row r="80" spans="2:15" s="84" customFormat="1" ht="12.75">
      <c r="B80" s="75">
        <f>IF((Tasas!B84&gt;1%),(Tasas!B84),(0%))</f>
        <v>0.2701</v>
      </c>
      <c r="C80" s="76">
        <f>IF((Tasas!C84=("")),(""),Tasas!C84)</f>
        <v>43586</v>
      </c>
      <c r="D80" s="77">
        <f>IF((Tasas!D84=("")),(""),Tasas!D84)</f>
        <v>43616</v>
      </c>
      <c r="E80" s="78">
        <f t="shared" si="25"/>
        <v>43616</v>
      </c>
      <c r="F80" s="79">
        <f t="shared" si="26"/>
        <v>0.00074</v>
      </c>
      <c r="G80" s="80">
        <f t="shared" si="27"/>
        <v>31</v>
      </c>
      <c r="H80" s="81">
        <f t="shared" si="28"/>
        <v>229000</v>
      </c>
      <c r="I80" s="81">
        <f t="shared" si="29"/>
        <v>13104000</v>
      </c>
      <c r="J80" s="82">
        <f t="shared" si="30"/>
        <v>411</v>
      </c>
      <c r="K80" s="83"/>
      <c r="L80" s="119">
        <f>+L79</f>
        <v>21.3</v>
      </c>
      <c r="M80" s="118">
        <f t="shared" si="14"/>
        <v>2428810.296208985</v>
      </c>
      <c r="N80" s="90">
        <f>+SUM($H$10:H80)</f>
        <v>3104000</v>
      </c>
      <c r="O80" s="120">
        <f t="shared" si="17"/>
        <v>675189.7037910149</v>
      </c>
    </row>
    <row r="81" spans="2:15" s="84" customFormat="1" ht="12.75">
      <c r="B81" s="75">
        <f>IF((Tasas!B85&gt;1%),(Tasas!B85),(0%))</f>
        <v>0.2695</v>
      </c>
      <c r="C81" s="76">
        <f>IF((Tasas!C85=("")),(""),Tasas!C85)</f>
        <v>43617</v>
      </c>
      <c r="D81" s="77">
        <f>IF((Tasas!D85=("")),(""),Tasas!D85)</f>
        <v>43646</v>
      </c>
      <c r="E81" s="78">
        <f t="shared" si="25"/>
        <v>43643</v>
      </c>
      <c r="F81" s="79">
        <f t="shared" si="26"/>
        <v>0.0007383561643835617</v>
      </c>
      <c r="G81" s="80">
        <f t="shared" si="27"/>
        <v>27</v>
      </c>
      <c r="H81" s="81">
        <f t="shared" si="28"/>
        <v>199000</v>
      </c>
      <c r="I81" s="81">
        <f t="shared" si="29"/>
        <v>13303000</v>
      </c>
      <c r="J81" s="82">
        <f t="shared" si="30"/>
        <v>438</v>
      </c>
      <c r="K81" s="83"/>
      <c r="L81" s="119">
        <f>+L80</f>
        <v>21.3</v>
      </c>
      <c r="M81" s="118">
        <f t="shared" si="14"/>
        <v>2607615.661478322</v>
      </c>
      <c r="N81" s="90">
        <f>+SUM($H$10:H81)</f>
        <v>3303000</v>
      </c>
      <c r="O81" s="120">
        <f t="shared" si="17"/>
        <v>695384.338521678</v>
      </c>
    </row>
    <row r="82" spans="2:11" s="84" customFormat="1" ht="12.75">
      <c r="B82" s="75">
        <f>IF((Tasas!B86&gt;1%),(Tasas!B86),(0%))</f>
        <v>0</v>
      </c>
      <c r="C82" s="76">
        <f>IF((Tasas!C86=("")),(""),Tasas!C86)</f>
      </c>
      <c r="D82" s="77">
        <f>IF((Tasas!D86=("")),(""),Tasas!D86)</f>
      </c>
      <c r="E82" s="78">
        <f t="shared" si="25"/>
        <v>1101</v>
      </c>
      <c r="F82" s="79">
        <f t="shared" si="26"/>
        <v>0</v>
      </c>
      <c r="G82" s="80">
        <f t="shared" si="27"/>
        <v>0</v>
      </c>
      <c r="H82" s="81">
        <f t="shared" si="28"/>
        <v>0</v>
      </c>
      <c r="I82" s="81">
        <f t="shared" si="29"/>
        <v>13303000</v>
      </c>
      <c r="J82" s="82">
        <f t="shared" si="30"/>
        <v>438</v>
      </c>
      <c r="K82" s="83"/>
    </row>
    <row r="83" spans="2:11" s="84" customFormat="1" ht="12.75">
      <c r="B83" s="75">
        <f>IF((Tasas!B87&gt;1%),(Tasas!B87),(0%))</f>
        <v>0</v>
      </c>
      <c r="C83" s="76">
        <f>IF((Tasas!C87=("")),(""),Tasas!C87)</f>
      </c>
      <c r="D83" s="77">
        <f>IF((Tasas!D87=("")),(""),Tasas!D87)</f>
      </c>
      <c r="E83" s="78">
        <f t="shared" si="25"/>
        <v>1101</v>
      </c>
      <c r="F83" s="79">
        <f t="shared" si="26"/>
        <v>0</v>
      </c>
      <c r="G83" s="80">
        <f t="shared" si="27"/>
        <v>0</v>
      </c>
      <c r="H83" s="81">
        <f t="shared" si="28"/>
        <v>0</v>
      </c>
      <c r="I83" s="81">
        <f t="shared" si="29"/>
        <v>13303000</v>
      </c>
      <c r="J83" s="82">
        <f t="shared" si="30"/>
        <v>438</v>
      </c>
      <c r="K83" s="83"/>
    </row>
    <row r="84" spans="2:11" s="84" customFormat="1" ht="12.75">
      <c r="B84" s="75">
        <f>IF((Tasas!B88&gt;1%),(Tasas!B88),(0%))</f>
        <v>0</v>
      </c>
      <c r="C84" s="76">
        <f>IF((Tasas!C88=("")),(""),Tasas!C88)</f>
      </c>
      <c r="D84" s="77">
        <f>IF((Tasas!D88=("")),(""),Tasas!D88)</f>
      </c>
      <c r="E84" s="78">
        <f t="shared" si="25"/>
        <v>1101</v>
      </c>
      <c r="F84" s="79">
        <f t="shared" si="26"/>
        <v>0</v>
      </c>
      <c r="G84" s="80">
        <f t="shared" si="27"/>
        <v>0</v>
      </c>
      <c r="H84" s="81">
        <f t="shared" si="28"/>
        <v>0</v>
      </c>
      <c r="I84" s="81">
        <f t="shared" si="29"/>
        <v>13303000</v>
      </c>
      <c r="J84" s="82">
        <f t="shared" si="30"/>
        <v>438</v>
      </c>
      <c r="K84" s="83"/>
    </row>
    <row r="85" spans="2:11" s="84" customFormat="1" ht="12.75">
      <c r="B85" s="75">
        <f>IF((Tasas!B89&gt;1%),(Tasas!B89),(0%))</f>
        <v>0</v>
      </c>
      <c r="C85" s="76">
        <f>IF((Tasas!C89=("")),(""),Tasas!C89)</f>
      </c>
      <c r="D85" s="77">
        <f>IF((Tasas!D89=("")),(""),Tasas!D89)</f>
      </c>
      <c r="E85" s="78">
        <f t="shared" si="25"/>
        <v>1101</v>
      </c>
      <c r="F85" s="79">
        <f t="shared" si="26"/>
        <v>0</v>
      </c>
      <c r="G85" s="80">
        <f t="shared" si="27"/>
        <v>0</v>
      </c>
      <c r="H85" s="81">
        <f t="shared" si="28"/>
        <v>0</v>
      </c>
      <c r="I85" s="81">
        <f t="shared" si="29"/>
        <v>13303000</v>
      </c>
      <c r="J85" s="82">
        <f t="shared" si="30"/>
        <v>438</v>
      </c>
      <c r="K85" s="83"/>
    </row>
    <row r="86" spans="2:11" s="84" customFormat="1" ht="12.75">
      <c r="B86" s="75">
        <f>IF((Tasas!B90&gt;1%),(Tasas!B90),(0%))</f>
        <v>0</v>
      </c>
      <c r="C86" s="76">
        <f>IF((Tasas!C90=("")),(""),Tasas!C90)</f>
      </c>
      <c r="D86" s="77">
        <f>IF((Tasas!D90=("")),(""),Tasas!D90)</f>
      </c>
      <c r="E86" s="78">
        <f t="shared" si="25"/>
        <v>1101</v>
      </c>
      <c r="F86" s="79">
        <f t="shared" si="26"/>
        <v>0</v>
      </c>
      <c r="G86" s="80">
        <f t="shared" si="27"/>
        <v>0</v>
      </c>
      <c r="H86" s="81">
        <f t="shared" si="28"/>
        <v>0</v>
      </c>
      <c r="I86" s="81">
        <f t="shared" si="29"/>
        <v>13303000</v>
      </c>
      <c r="J86" s="82">
        <f t="shared" si="30"/>
        <v>438</v>
      </c>
      <c r="K86" s="83"/>
    </row>
    <row r="87" spans="2:11" s="84" customFormat="1" ht="13.5" thickBot="1">
      <c r="B87" s="75"/>
      <c r="C87" s="76"/>
      <c r="D87" s="77"/>
      <c r="E87" s="78"/>
      <c r="F87" s="79"/>
      <c r="G87" s="80"/>
      <c r="H87" s="81"/>
      <c r="I87" s="81"/>
      <c r="J87" s="82"/>
      <c r="K87" s="83"/>
    </row>
    <row r="88" spans="2:11" s="84" customFormat="1" ht="15.75" thickBot="1">
      <c r="B88" s="137" t="s">
        <v>17</v>
      </c>
      <c r="C88" s="138"/>
      <c r="D88" s="138"/>
      <c r="E88" s="138"/>
      <c r="F88" s="85"/>
      <c r="G88" s="86">
        <f>IF($C$5&gt;E88,(""),E88-$C$5-#REF!)</f>
      </c>
      <c r="H88" s="87">
        <f>IF(B89="",SUM(H10:H86),"Revise Tasas")</f>
        <v>3303000</v>
      </c>
      <c r="I88" s="88"/>
      <c r="J88" s="89">
        <f>+IF(G88=(""),(""),(G88+#REF!))</f>
      </c>
      <c r="K88" s="83"/>
    </row>
    <row r="89" spans="2:9" s="84" customFormat="1" ht="21.75" customHeight="1">
      <c r="B89" s="131">
        <f>IF((Tasas!O93=0),("La Tabla de Tasas está desactualizada, por lo tanto el cálculo no es correcto"),(""))</f>
      </c>
      <c r="C89" s="131"/>
      <c r="D89" s="131"/>
      <c r="E89" s="131"/>
      <c r="F89" s="131"/>
      <c r="G89" s="131"/>
      <c r="H89" s="131"/>
      <c r="I89" s="90"/>
    </row>
    <row r="90" spans="2:9" s="84" customFormat="1" ht="13.5" thickBot="1">
      <c r="B90" s="91" t="s">
        <v>26</v>
      </c>
      <c r="C90" s="92"/>
      <c r="D90" s="92"/>
      <c r="E90" s="92"/>
      <c r="F90" s="93"/>
      <c r="H90" s="90"/>
      <c r="I90" s="90"/>
    </row>
    <row r="91" spans="2:9" s="84" customFormat="1" ht="12.75">
      <c r="B91" s="94" t="s">
        <v>23</v>
      </c>
      <c r="C91" s="95"/>
      <c r="D91" s="95"/>
      <c r="E91" s="95"/>
      <c r="F91" s="96"/>
      <c r="G91" s="97">
        <f aca="true" t="shared" si="31" ref="G91:G114">IF($C$5&gt;E91,(""),E91-$C$5-J90)</f>
      </c>
      <c r="H91" s="98">
        <f>+B5</f>
        <v>10000000</v>
      </c>
      <c r="I91" s="90"/>
    </row>
    <row r="92" spans="2:9" s="84" customFormat="1" ht="12.75">
      <c r="B92" s="99" t="s">
        <v>27</v>
      </c>
      <c r="C92" s="100"/>
      <c r="D92" s="100"/>
      <c r="E92" s="100"/>
      <c r="F92" s="101"/>
      <c r="G92" s="102"/>
      <c r="H92" s="103"/>
      <c r="I92" s="90"/>
    </row>
    <row r="93" spans="2:9" s="84" customFormat="1" ht="12.75">
      <c r="B93" s="99" t="s">
        <v>24</v>
      </c>
      <c r="C93" s="100"/>
      <c r="D93" s="100"/>
      <c r="E93" s="100"/>
      <c r="F93" s="101"/>
      <c r="G93" s="102">
        <f>IF($C$5&gt;E93,(""),E93-$C$5-J91)</f>
      </c>
      <c r="H93" s="104">
        <f>+H5</f>
        <v>3303000</v>
      </c>
      <c r="I93" s="90"/>
    </row>
    <row r="94" spans="2:9" s="84" customFormat="1" ht="13.5" thickBot="1">
      <c r="B94" s="105" t="s">
        <v>25</v>
      </c>
      <c r="C94" s="106"/>
      <c r="D94" s="106"/>
      <c r="E94" s="106"/>
      <c r="F94" s="107"/>
      <c r="G94" s="108">
        <f t="shared" si="31"/>
      </c>
      <c r="H94" s="109">
        <f>+H91+H93+H92</f>
        <v>13303000</v>
      </c>
      <c r="I94" s="90"/>
    </row>
    <row r="95" spans="2:9" s="84" customFormat="1" ht="12.75">
      <c r="B95" s="91"/>
      <c r="C95" s="92"/>
      <c r="D95" s="92"/>
      <c r="E95" s="92"/>
      <c r="F95" s="93"/>
      <c r="G95" s="84">
        <f t="shared" si="31"/>
      </c>
      <c r="H95" s="90"/>
      <c r="I95" s="90"/>
    </row>
    <row r="96" spans="1:9" ht="12.75">
      <c r="A96" s="53"/>
      <c r="B96" s="52"/>
      <c r="C96" s="54"/>
      <c r="D96" s="2"/>
      <c r="E96" s="2"/>
      <c r="F96" s="7">
        <f>IF((B96&gt;0.1%),((1+B96)^(1/365)-1),(""))</f>
      </c>
      <c r="G96" s="4">
        <f t="shared" si="31"/>
      </c>
      <c r="H96" s="5">
        <f>IF((G96=""),(""),((I95*((1+F96)^(G96)-1))))</f>
      </c>
      <c r="I96" s="5"/>
    </row>
    <row r="97" spans="1:9" ht="12.75">
      <c r="A97" s="53"/>
      <c r="B97" s="52"/>
      <c r="C97" s="54"/>
      <c r="D97" s="2"/>
      <c r="E97" s="2"/>
      <c r="F97" s="7">
        <f aca="true" t="shared" si="32" ref="F97:F120">IF((B97&gt;0.1%),((1+B97)^(1/365)-1),(""))</f>
      </c>
      <c r="G97" s="4">
        <f t="shared" si="31"/>
      </c>
      <c r="H97" s="5">
        <f aca="true" t="shared" si="33" ref="H97:H120">IF((G97=""),(""),((I96*((1+F97)^(G97)-1))))</f>
      </c>
      <c r="I97" s="5"/>
    </row>
    <row r="98" spans="1:9" ht="12.75">
      <c r="A98" s="53"/>
      <c r="B98" s="52"/>
      <c r="C98" s="54"/>
      <c r="D98" s="2"/>
      <c r="E98" s="2"/>
      <c r="F98" s="7">
        <f t="shared" si="32"/>
      </c>
      <c r="G98" s="4">
        <f t="shared" si="31"/>
      </c>
      <c r="H98" s="5">
        <f t="shared" si="33"/>
      </c>
      <c r="I98" s="5"/>
    </row>
    <row r="99" spans="1:9" ht="12.75">
      <c r="A99" s="53"/>
      <c r="B99" s="52"/>
      <c r="C99" s="54"/>
      <c r="D99" s="2"/>
      <c r="E99" s="2"/>
      <c r="F99" s="7">
        <f>IF((B99&gt;0.1%),((1+B99)^(1/365)-1),(""))</f>
      </c>
      <c r="G99" s="4">
        <f t="shared" si="31"/>
      </c>
      <c r="H99" s="5">
        <f t="shared" si="33"/>
      </c>
      <c r="I99" s="5"/>
    </row>
    <row r="100" spans="1:9" ht="13.5" customHeight="1">
      <c r="A100" s="53"/>
      <c r="B100" s="52"/>
      <c r="C100" s="54"/>
      <c r="D100" s="2"/>
      <c r="E100" s="2"/>
      <c r="F100" s="7">
        <f t="shared" si="32"/>
      </c>
      <c r="G100" s="4">
        <f t="shared" si="31"/>
      </c>
      <c r="H100" s="5">
        <f t="shared" si="33"/>
      </c>
      <c r="I100" s="5"/>
    </row>
    <row r="101" spans="1:9" ht="12.75">
      <c r="A101" s="53"/>
      <c r="B101" s="52"/>
      <c r="C101" s="54"/>
      <c r="D101" s="2"/>
      <c r="E101" s="2"/>
      <c r="F101" s="7">
        <f>IF((B101&gt;0.1%),((1+B101)^(1/365)-1),(""))</f>
      </c>
      <c r="G101" s="4">
        <f t="shared" si="31"/>
      </c>
      <c r="H101" s="5">
        <f t="shared" si="33"/>
      </c>
      <c r="I101" s="5"/>
    </row>
    <row r="102" spans="2:10" ht="12.75">
      <c r="B102" s="1"/>
      <c r="C102" s="2"/>
      <c r="D102" s="2"/>
      <c r="E102" s="2"/>
      <c r="F102" s="7">
        <f t="shared" si="32"/>
      </c>
      <c r="G102" s="4">
        <f t="shared" si="31"/>
      </c>
      <c r="H102" s="5">
        <f t="shared" si="33"/>
      </c>
      <c r="I102" s="5">
        <f aca="true" t="shared" si="34" ref="I102:I120">+IF((H102=""),(""),(H102+I101))</f>
      </c>
      <c r="J102" s="4">
        <f aca="true" t="shared" si="35" ref="J102:J120">+IF(G102=(""),(""),(G102+J101))</f>
      </c>
    </row>
    <row r="103" spans="2:10" ht="12.75">
      <c r="B103" s="1"/>
      <c r="C103" s="2"/>
      <c r="D103" s="2"/>
      <c r="E103" s="2"/>
      <c r="F103" s="7">
        <f t="shared" si="32"/>
      </c>
      <c r="G103" s="4">
        <f t="shared" si="31"/>
      </c>
      <c r="H103" s="5">
        <f t="shared" si="33"/>
      </c>
      <c r="I103" s="5">
        <f t="shared" si="34"/>
      </c>
      <c r="J103" s="4">
        <f t="shared" si="35"/>
      </c>
    </row>
    <row r="104" spans="2:10" ht="12.75">
      <c r="B104" s="1"/>
      <c r="C104" s="2"/>
      <c r="D104" s="2"/>
      <c r="E104" s="2"/>
      <c r="F104" s="7">
        <f t="shared" si="32"/>
      </c>
      <c r="G104" s="4">
        <f t="shared" si="31"/>
      </c>
      <c r="H104" s="5">
        <f t="shared" si="33"/>
      </c>
      <c r="I104" s="5">
        <f t="shared" si="34"/>
      </c>
      <c r="J104" s="4">
        <f t="shared" si="35"/>
      </c>
    </row>
    <row r="105" spans="2:10" ht="12.75">
      <c r="B105" s="1"/>
      <c r="C105" s="2"/>
      <c r="D105" s="2"/>
      <c r="E105" s="2"/>
      <c r="F105" s="7">
        <f t="shared" si="32"/>
      </c>
      <c r="G105" s="4">
        <f t="shared" si="31"/>
      </c>
      <c r="H105" s="5">
        <f t="shared" si="33"/>
      </c>
      <c r="I105" s="5">
        <f t="shared" si="34"/>
      </c>
      <c r="J105" s="4">
        <f t="shared" si="35"/>
      </c>
    </row>
    <row r="106" spans="2:10" ht="12.75">
      <c r="B106" s="1"/>
      <c r="C106" s="2"/>
      <c r="D106" s="2"/>
      <c r="E106" s="2"/>
      <c r="F106" s="7">
        <f t="shared" si="32"/>
      </c>
      <c r="G106" s="4">
        <f t="shared" si="31"/>
      </c>
      <c r="H106" s="5">
        <f t="shared" si="33"/>
      </c>
      <c r="I106" s="5">
        <f t="shared" si="34"/>
      </c>
      <c r="J106" s="4">
        <f t="shared" si="35"/>
      </c>
    </row>
    <row r="107" spans="2:10" ht="12.75">
      <c r="B107" s="1"/>
      <c r="C107" s="2"/>
      <c r="D107" s="2"/>
      <c r="E107" s="2"/>
      <c r="F107" s="7">
        <f t="shared" si="32"/>
      </c>
      <c r="G107" s="4">
        <f t="shared" si="31"/>
      </c>
      <c r="H107" s="5">
        <f t="shared" si="33"/>
      </c>
      <c r="I107" s="5">
        <f t="shared" si="34"/>
      </c>
      <c r="J107" s="4">
        <f t="shared" si="35"/>
      </c>
    </row>
    <row r="108" spans="2:10" ht="12.75">
      <c r="B108" s="1"/>
      <c r="C108" s="2"/>
      <c r="D108" s="2"/>
      <c r="E108" s="2"/>
      <c r="F108" s="7">
        <f t="shared" si="32"/>
      </c>
      <c r="G108" s="4">
        <f t="shared" si="31"/>
      </c>
      <c r="H108" s="5">
        <f t="shared" si="33"/>
      </c>
      <c r="I108" s="5">
        <f t="shared" si="34"/>
      </c>
      <c r="J108" s="4">
        <f t="shared" si="35"/>
      </c>
    </row>
    <row r="109" spans="2:10" ht="12.75">
      <c r="B109" s="1"/>
      <c r="C109" s="2"/>
      <c r="D109" s="2"/>
      <c r="E109" s="2"/>
      <c r="F109" s="7">
        <f t="shared" si="32"/>
      </c>
      <c r="G109" s="4">
        <f t="shared" si="31"/>
      </c>
      <c r="H109" s="5">
        <f t="shared" si="33"/>
      </c>
      <c r="I109" s="5">
        <f t="shared" si="34"/>
      </c>
      <c r="J109" s="4">
        <f t="shared" si="35"/>
      </c>
    </row>
    <row r="110" spans="2:10" ht="12.75">
      <c r="B110" s="1"/>
      <c r="C110" s="2"/>
      <c r="D110" s="2"/>
      <c r="E110" s="2"/>
      <c r="F110" s="7">
        <f t="shared" si="32"/>
      </c>
      <c r="G110" s="4">
        <f t="shared" si="31"/>
      </c>
      <c r="H110" s="5">
        <f t="shared" si="33"/>
      </c>
      <c r="I110" s="5">
        <f t="shared" si="34"/>
      </c>
      <c r="J110" s="4">
        <f t="shared" si="35"/>
      </c>
    </row>
    <row r="111" spans="2:10" ht="12.75">
      <c r="B111" s="1"/>
      <c r="C111" s="2"/>
      <c r="D111" s="2"/>
      <c r="E111" s="2"/>
      <c r="F111" s="7">
        <f t="shared" si="32"/>
      </c>
      <c r="G111" s="4">
        <f t="shared" si="31"/>
      </c>
      <c r="H111" s="5">
        <f t="shared" si="33"/>
      </c>
      <c r="I111" s="5">
        <f t="shared" si="34"/>
      </c>
      <c r="J111" s="4">
        <f t="shared" si="35"/>
      </c>
    </row>
    <row r="112" spans="2:10" ht="12.75">
      <c r="B112" s="1"/>
      <c r="C112" s="2"/>
      <c r="D112" s="2"/>
      <c r="E112" s="2"/>
      <c r="F112" s="7">
        <f t="shared" si="32"/>
      </c>
      <c r="G112" s="4">
        <f t="shared" si="31"/>
      </c>
      <c r="H112" s="5">
        <f t="shared" si="33"/>
      </c>
      <c r="I112" s="5">
        <f t="shared" si="34"/>
      </c>
      <c r="J112" s="4">
        <f t="shared" si="35"/>
      </c>
    </row>
    <row r="113" spans="2:10" ht="12.75">
      <c r="B113" s="1"/>
      <c r="C113" s="2"/>
      <c r="D113" s="2"/>
      <c r="E113" s="2"/>
      <c r="F113" s="7">
        <f t="shared" si="32"/>
      </c>
      <c r="G113" s="4">
        <f t="shared" si="31"/>
      </c>
      <c r="H113" s="5">
        <f t="shared" si="33"/>
      </c>
      <c r="I113" s="5">
        <f t="shared" si="34"/>
      </c>
      <c r="J113" s="4">
        <f t="shared" si="35"/>
      </c>
    </row>
    <row r="114" spans="2:10" ht="12.75">
      <c r="B114" s="1"/>
      <c r="C114" s="2"/>
      <c r="D114" s="2"/>
      <c r="E114" s="2"/>
      <c r="F114" s="7">
        <f t="shared" si="32"/>
      </c>
      <c r="G114" s="4">
        <f t="shared" si="31"/>
      </c>
      <c r="H114" s="5">
        <f t="shared" si="33"/>
      </c>
      <c r="I114" s="5">
        <f t="shared" si="34"/>
      </c>
      <c r="J114" s="4">
        <f t="shared" si="35"/>
      </c>
    </row>
    <row r="115" spans="2:10" ht="12.75">
      <c r="B115" s="1"/>
      <c r="C115" s="2"/>
      <c r="D115" s="2"/>
      <c r="E115" s="2"/>
      <c r="F115" s="7">
        <f t="shared" si="32"/>
      </c>
      <c r="G115" s="4">
        <f aca="true" t="shared" si="36" ref="G115:G146">IF($C$5&gt;E115,(""),E115-$C$5-J114)</f>
      </c>
      <c r="H115" s="5">
        <f t="shared" si="33"/>
      </c>
      <c r="I115" s="5">
        <f t="shared" si="34"/>
      </c>
      <c r="J115" s="4">
        <f t="shared" si="35"/>
      </c>
    </row>
    <row r="116" spans="2:10" ht="12.75">
      <c r="B116" s="1"/>
      <c r="C116" s="2"/>
      <c r="D116" s="2"/>
      <c r="E116" s="2"/>
      <c r="F116" s="7">
        <f t="shared" si="32"/>
      </c>
      <c r="G116" s="4">
        <f t="shared" si="36"/>
      </c>
      <c r="H116" s="5">
        <f t="shared" si="33"/>
      </c>
      <c r="I116" s="5">
        <f t="shared" si="34"/>
      </c>
      <c r="J116" s="4">
        <f t="shared" si="35"/>
      </c>
    </row>
    <row r="117" spans="2:10" ht="12.75">
      <c r="B117" s="1"/>
      <c r="C117" s="2"/>
      <c r="D117" s="2"/>
      <c r="E117" s="2"/>
      <c r="F117" s="7">
        <f t="shared" si="32"/>
      </c>
      <c r="G117" s="4">
        <f t="shared" si="36"/>
      </c>
      <c r="H117" s="5">
        <f t="shared" si="33"/>
      </c>
      <c r="I117" s="5">
        <f t="shared" si="34"/>
      </c>
      <c r="J117" s="4">
        <f t="shared" si="35"/>
      </c>
    </row>
    <row r="118" spans="2:10" ht="12.75">
      <c r="B118" s="1"/>
      <c r="C118" s="2"/>
      <c r="D118" s="2"/>
      <c r="E118" s="2"/>
      <c r="F118" s="7">
        <f t="shared" si="32"/>
      </c>
      <c r="G118" s="4">
        <f t="shared" si="36"/>
      </c>
      <c r="H118" s="5">
        <f t="shared" si="33"/>
      </c>
      <c r="I118" s="5">
        <f t="shared" si="34"/>
      </c>
      <c r="J118" s="4">
        <f t="shared" si="35"/>
      </c>
    </row>
    <row r="119" spans="2:10" ht="12.75">
      <c r="B119" s="1"/>
      <c r="C119" s="2"/>
      <c r="D119" s="2"/>
      <c r="E119" s="2"/>
      <c r="F119" s="7">
        <f t="shared" si="32"/>
      </c>
      <c r="G119" s="4">
        <f t="shared" si="36"/>
      </c>
      <c r="H119" s="5">
        <f t="shared" si="33"/>
      </c>
      <c r="I119" s="5">
        <f t="shared" si="34"/>
      </c>
      <c r="J119" s="4">
        <f t="shared" si="35"/>
      </c>
    </row>
    <row r="120" spans="2:10" ht="12.75">
      <c r="B120" s="1"/>
      <c r="C120" s="2"/>
      <c r="D120" s="2"/>
      <c r="E120" s="2"/>
      <c r="F120" s="7">
        <f t="shared" si="32"/>
      </c>
      <c r="G120" s="4">
        <f t="shared" si="36"/>
      </c>
      <c r="H120" s="5">
        <f t="shared" si="33"/>
      </c>
      <c r="I120" s="5">
        <f t="shared" si="34"/>
      </c>
      <c r="J120" s="4">
        <f t="shared" si="35"/>
      </c>
    </row>
    <row r="121" spans="2:10" ht="12.75">
      <c r="B121" s="1"/>
      <c r="C121" s="2"/>
      <c r="D121" s="2"/>
      <c r="E121" s="2"/>
      <c r="F121" s="7">
        <f aca="true" t="shared" si="37" ref="F121:F146">IF((B121&gt;0.1%),((1+B121)^(1/365)-1),(""))</f>
      </c>
      <c r="G121" s="4">
        <f t="shared" si="36"/>
      </c>
      <c r="H121" s="5">
        <f aca="true" t="shared" si="38" ref="H121:H146">IF((G121=""),(""),((I120*((1+F121)^(G121)-1))))</f>
      </c>
      <c r="I121" s="5">
        <f aca="true" t="shared" si="39" ref="I121:I146">+IF((H121=""),(""),(H121+I120))</f>
      </c>
      <c r="J121" s="4">
        <f aca="true" t="shared" si="40" ref="J121:J146">+IF(G121=(""),(""),(G121+J120))</f>
      </c>
    </row>
    <row r="122" spans="2:10" ht="12.75">
      <c r="B122" s="1"/>
      <c r="C122" s="2"/>
      <c r="D122" s="2"/>
      <c r="E122" s="2"/>
      <c r="F122" s="7">
        <f t="shared" si="37"/>
      </c>
      <c r="G122" s="4">
        <f t="shared" si="36"/>
      </c>
      <c r="H122" s="5">
        <f t="shared" si="38"/>
      </c>
      <c r="I122" s="5">
        <f t="shared" si="39"/>
      </c>
      <c r="J122" s="4">
        <f t="shared" si="40"/>
      </c>
    </row>
    <row r="123" spans="2:10" ht="12.75">
      <c r="B123" s="1"/>
      <c r="C123" s="2"/>
      <c r="D123" s="2"/>
      <c r="E123" s="2"/>
      <c r="F123" s="7">
        <f t="shared" si="37"/>
      </c>
      <c r="G123" s="4">
        <f t="shared" si="36"/>
      </c>
      <c r="H123" s="5">
        <f t="shared" si="38"/>
      </c>
      <c r="I123" s="5">
        <f t="shared" si="39"/>
      </c>
      <c r="J123" s="4">
        <f t="shared" si="40"/>
      </c>
    </row>
    <row r="124" spans="2:10" ht="12.75">
      <c r="B124" s="1"/>
      <c r="C124" s="2"/>
      <c r="D124" s="2"/>
      <c r="E124" s="2"/>
      <c r="F124" s="7">
        <f t="shared" si="37"/>
      </c>
      <c r="G124" s="4">
        <f t="shared" si="36"/>
      </c>
      <c r="H124" s="5">
        <f t="shared" si="38"/>
      </c>
      <c r="I124" s="5">
        <f t="shared" si="39"/>
      </c>
      <c r="J124" s="4">
        <f t="shared" si="40"/>
      </c>
    </row>
    <row r="125" spans="2:10" ht="12.75">
      <c r="B125" s="1"/>
      <c r="C125" s="2"/>
      <c r="D125" s="2"/>
      <c r="E125" s="2"/>
      <c r="F125" s="7">
        <f t="shared" si="37"/>
      </c>
      <c r="G125" s="4">
        <f t="shared" si="36"/>
      </c>
      <c r="H125" s="5">
        <f t="shared" si="38"/>
      </c>
      <c r="I125" s="5">
        <f t="shared" si="39"/>
      </c>
      <c r="J125" s="4">
        <f t="shared" si="40"/>
      </c>
    </row>
    <row r="126" spans="2:10" ht="12.75">
      <c r="B126" s="1"/>
      <c r="C126" s="2"/>
      <c r="D126" s="2"/>
      <c r="E126" s="2"/>
      <c r="F126" s="7">
        <f t="shared" si="37"/>
      </c>
      <c r="G126" s="4">
        <f t="shared" si="36"/>
      </c>
      <c r="H126" s="5">
        <f t="shared" si="38"/>
      </c>
      <c r="I126" s="5">
        <f t="shared" si="39"/>
      </c>
      <c r="J126" s="4">
        <f t="shared" si="40"/>
      </c>
    </row>
    <row r="127" spans="6:10" ht="12.75">
      <c r="F127" s="7">
        <f t="shared" si="37"/>
      </c>
      <c r="G127" s="4">
        <f t="shared" si="36"/>
      </c>
      <c r="H127" s="5">
        <f t="shared" si="38"/>
      </c>
      <c r="I127" s="5">
        <f t="shared" si="39"/>
      </c>
      <c r="J127" s="4">
        <f t="shared" si="40"/>
      </c>
    </row>
    <row r="128" spans="6:10" ht="12.75">
      <c r="F128" s="7">
        <f t="shared" si="37"/>
      </c>
      <c r="G128" s="4">
        <f t="shared" si="36"/>
      </c>
      <c r="H128" s="5">
        <f t="shared" si="38"/>
      </c>
      <c r="I128" s="5">
        <f t="shared" si="39"/>
      </c>
      <c r="J128" s="4">
        <f t="shared" si="40"/>
      </c>
    </row>
    <row r="129" spans="6:10" ht="12.75">
      <c r="F129" s="7">
        <f t="shared" si="37"/>
      </c>
      <c r="G129" s="4">
        <f t="shared" si="36"/>
      </c>
      <c r="H129" s="5">
        <f t="shared" si="38"/>
      </c>
      <c r="I129" s="5">
        <f t="shared" si="39"/>
      </c>
      <c r="J129" s="4">
        <f t="shared" si="40"/>
      </c>
    </row>
    <row r="130" spans="6:10" ht="12.75">
      <c r="F130" s="7">
        <f t="shared" si="37"/>
      </c>
      <c r="G130" s="4">
        <f t="shared" si="36"/>
      </c>
      <c r="H130" s="5">
        <f t="shared" si="38"/>
      </c>
      <c r="I130" s="5">
        <f t="shared" si="39"/>
      </c>
      <c r="J130" s="4">
        <f t="shared" si="40"/>
      </c>
    </row>
    <row r="131" spans="6:10" ht="12.75">
      <c r="F131" s="7">
        <f t="shared" si="37"/>
      </c>
      <c r="G131" s="4">
        <f t="shared" si="36"/>
      </c>
      <c r="H131" s="5">
        <f t="shared" si="38"/>
      </c>
      <c r="I131" s="5">
        <f t="shared" si="39"/>
      </c>
      <c r="J131" s="4">
        <f t="shared" si="40"/>
      </c>
    </row>
    <row r="132" spans="6:10" ht="12.75">
      <c r="F132" s="7">
        <f t="shared" si="37"/>
      </c>
      <c r="G132" s="4">
        <f t="shared" si="36"/>
      </c>
      <c r="H132" s="5">
        <f t="shared" si="38"/>
      </c>
      <c r="I132" s="5">
        <f t="shared" si="39"/>
      </c>
      <c r="J132" s="4">
        <f t="shared" si="40"/>
      </c>
    </row>
    <row r="133" spans="6:10" ht="12.75">
      <c r="F133" s="7">
        <f t="shared" si="37"/>
      </c>
      <c r="G133" s="4">
        <f t="shared" si="36"/>
      </c>
      <c r="H133" s="5">
        <f t="shared" si="38"/>
      </c>
      <c r="I133" s="5">
        <f t="shared" si="39"/>
      </c>
      <c r="J133" s="4">
        <f t="shared" si="40"/>
      </c>
    </row>
    <row r="134" spans="6:10" ht="12.75">
      <c r="F134" s="7">
        <f t="shared" si="37"/>
      </c>
      <c r="G134" s="4">
        <f t="shared" si="36"/>
      </c>
      <c r="H134" s="5">
        <f t="shared" si="38"/>
      </c>
      <c r="I134" s="5">
        <f t="shared" si="39"/>
      </c>
      <c r="J134" s="4">
        <f t="shared" si="40"/>
      </c>
    </row>
    <row r="135" spans="6:10" ht="12.75">
      <c r="F135" s="7">
        <f t="shared" si="37"/>
      </c>
      <c r="G135" s="4">
        <f t="shared" si="36"/>
      </c>
      <c r="H135" s="5">
        <f t="shared" si="38"/>
      </c>
      <c r="I135" s="5">
        <f t="shared" si="39"/>
      </c>
      <c r="J135" s="4">
        <f t="shared" si="40"/>
      </c>
    </row>
    <row r="136" spans="6:10" ht="12.75">
      <c r="F136" s="7">
        <f t="shared" si="37"/>
      </c>
      <c r="G136" s="4">
        <f t="shared" si="36"/>
      </c>
      <c r="H136" s="5">
        <f t="shared" si="38"/>
      </c>
      <c r="I136" s="5">
        <f t="shared" si="39"/>
      </c>
      <c r="J136" s="4">
        <f t="shared" si="40"/>
      </c>
    </row>
    <row r="137" spans="6:10" ht="12.75">
      <c r="F137" s="7">
        <f t="shared" si="37"/>
      </c>
      <c r="G137" s="4">
        <f t="shared" si="36"/>
      </c>
      <c r="H137" s="5">
        <f t="shared" si="38"/>
      </c>
      <c r="I137" s="5">
        <f t="shared" si="39"/>
      </c>
      <c r="J137" s="4">
        <f t="shared" si="40"/>
      </c>
    </row>
    <row r="138" spans="6:10" ht="12.75">
      <c r="F138" s="7">
        <f t="shared" si="37"/>
      </c>
      <c r="G138" s="4">
        <f t="shared" si="36"/>
      </c>
      <c r="H138" s="5">
        <f t="shared" si="38"/>
      </c>
      <c r="I138" s="5">
        <f t="shared" si="39"/>
      </c>
      <c r="J138" s="4">
        <f t="shared" si="40"/>
      </c>
    </row>
    <row r="139" spans="6:10" ht="12.75">
      <c r="F139" s="7">
        <f t="shared" si="37"/>
      </c>
      <c r="G139" s="4">
        <f t="shared" si="36"/>
      </c>
      <c r="H139" s="5">
        <f t="shared" si="38"/>
      </c>
      <c r="I139" s="5">
        <f t="shared" si="39"/>
      </c>
      <c r="J139" s="4">
        <f t="shared" si="40"/>
      </c>
    </row>
    <row r="140" spans="6:10" ht="12.75">
      <c r="F140" s="7">
        <f t="shared" si="37"/>
      </c>
      <c r="G140" s="4">
        <f t="shared" si="36"/>
      </c>
      <c r="H140" s="5">
        <f t="shared" si="38"/>
      </c>
      <c r="I140" s="5">
        <f t="shared" si="39"/>
      </c>
      <c r="J140" s="4">
        <f t="shared" si="40"/>
      </c>
    </row>
    <row r="141" spans="6:10" ht="12.75">
      <c r="F141" s="7">
        <f t="shared" si="37"/>
      </c>
      <c r="G141" s="4">
        <f t="shared" si="36"/>
      </c>
      <c r="H141" s="5">
        <f t="shared" si="38"/>
      </c>
      <c r="I141" s="5">
        <f t="shared" si="39"/>
      </c>
      <c r="J141" s="4">
        <f t="shared" si="40"/>
      </c>
    </row>
    <row r="142" spans="6:10" ht="12.75">
      <c r="F142" s="7">
        <f t="shared" si="37"/>
      </c>
      <c r="G142" s="4">
        <f t="shared" si="36"/>
      </c>
      <c r="H142" s="5">
        <f t="shared" si="38"/>
      </c>
      <c r="I142" s="5">
        <f t="shared" si="39"/>
      </c>
      <c r="J142" s="4">
        <f t="shared" si="40"/>
      </c>
    </row>
    <row r="143" spans="6:10" ht="12.75">
      <c r="F143" s="7">
        <f t="shared" si="37"/>
      </c>
      <c r="G143" s="4">
        <f t="shared" si="36"/>
      </c>
      <c r="H143" s="5">
        <f t="shared" si="38"/>
      </c>
      <c r="I143" s="5">
        <f t="shared" si="39"/>
      </c>
      <c r="J143" s="4">
        <f t="shared" si="40"/>
      </c>
    </row>
    <row r="144" spans="6:10" ht="12.75">
      <c r="F144" s="7">
        <f t="shared" si="37"/>
      </c>
      <c r="G144" s="4">
        <f t="shared" si="36"/>
      </c>
      <c r="H144" s="5">
        <f t="shared" si="38"/>
      </c>
      <c r="I144" s="5">
        <f t="shared" si="39"/>
      </c>
      <c r="J144" s="4">
        <f t="shared" si="40"/>
      </c>
    </row>
    <row r="145" spans="6:10" ht="12.75">
      <c r="F145" s="7">
        <f t="shared" si="37"/>
      </c>
      <c r="G145" s="4">
        <f t="shared" si="36"/>
      </c>
      <c r="H145" s="5">
        <f t="shared" si="38"/>
      </c>
      <c r="I145" s="5">
        <f t="shared" si="39"/>
      </c>
      <c r="J145" s="4">
        <f t="shared" si="40"/>
      </c>
    </row>
    <row r="146" spans="6:10" ht="12.75">
      <c r="F146" s="7">
        <f t="shared" si="37"/>
      </c>
      <c r="G146" s="4">
        <f t="shared" si="36"/>
      </c>
      <c r="H146" s="5">
        <f t="shared" si="38"/>
      </c>
      <c r="I146" s="5">
        <f t="shared" si="39"/>
      </c>
      <c r="J146" s="4">
        <f t="shared" si="40"/>
      </c>
    </row>
  </sheetData>
  <sheetProtection/>
  <mergeCells count="5">
    <mergeCell ref="B89:H89"/>
    <mergeCell ref="B8:D8"/>
    <mergeCell ref="E7:J7"/>
    <mergeCell ref="E8:J8"/>
    <mergeCell ref="B88:E88"/>
  </mergeCells>
  <conditionalFormatting sqref="E90:E138">
    <cfRule type="cellIs" priority="85" dxfId="0" operator="lessThan" stopIfTrue="1">
      <formula>37987</formula>
    </cfRule>
  </conditionalFormatting>
  <conditionalFormatting sqref="D46:E48">
    <cfRule type="cellIs" priority="82" dxfId="0" operator="lessThan" stopIfTrue="1">
      <formula>37987</formula>
    </cfRule>
  </conditionalFormatting>
  <conditionalFormatting sqref="B46:B48">
    <cfRule type="cellIs" priority="83" dxfId="0" operator="equal" stopIfTrue="1">
      <formula>0</formula>
    </cfRule>
  </conditionalFormatting>
  <conditionalFormatting sqref="G10:H45">
    <cfRule type="cellIs" priority="70" dxfId="0" operator="equal" stopIfTrue="1">
      <formula>0</formula>
    </cfRule>
  </conditionalFormatting>
  <conditionalFormatting sqref="I10:J43 I44 I46:J47 I49:J49 I51:J86">
    <cfRule type="cellIs" priority="71" dxfId="0" operator="equal" stopIfTrue="1">
      <formula>I4</formula>
    </cfRule>
  </conditionalFormatting>
  <conditionalFormatting sqref="B10:B45">
    <cfRule type="cellIs" priority="67" dxfId="0" operator="equal" stopIfTrue="1">
      <formula>0</formula>
    </cfRule>
  </conditionalFormatting>
  <conditionalFormatting sqref="H46:H47 H49">
    <cfRule type="cellIs" priority="66" dxfId="0" operator="equal" stopIfTrue="1">
      <formula>0</formula>
    </cfRule>
  </conditionalFormatting>
  <conditionalFormatting sqref="I45">
    <cfRule type="cellIs" priority="65" dxfId="0" operator="equal" stopIfTrue="1">
      <formula>I39</formula>
    </cfRule>
  </conditionalFormatting>
  <conditionalFormatting sqref="J44:J45">
    <cfRule type="cellIs" priority="64" dxfId="0" operator="equal" stopIfTrue="1">
      <formula>J38</formula>
    </cfRule>
  </conditionalFormatting>
  <conditionalFormatting sqref="D10:D45">
    <cfRule type="cellIs" priority="63" dxfId="0" operator="lessThan" stopIfTrue="1">
      <formula>37987</formula>
    </cfRule>
  </conditionalFormatting>
  <conditionalFormatting sqref="E45">
    <cfRule type="cellIs" priority="62" dxfId="0" operator="lessThan" stopIfTrue="1">
      <formula>37987</formula>
    </cfRule>
  </conditionalFormatting>
  <conditionalFormatting sqref="E13:E43">
    <cfRule type="cellIs" priority="61" dxfId="0" operator="lessThan" stopIfTrue="1">
      <formula>37987</formula>
    </cfRule>
  </conditionalFormatting>
  <conditionalFormatting sqref="E10:E12">
    <cfRule type="cellIs" priority="60" dxfId="0" operator="lessThan" stopIfTrue="1">
      <formula>37987</formula>
    </cfRule>
  </conditionalFormatting>
  <conditionalFormatting sqref="E44">
    <cfRule type="cellIs" priority="56" dxfId="0" operator="lessThan" stopIfTrue="1">
      <formula>37987</formula>
    </cfRule>
  </conditionalFormatting>
  <conditionalFormatting sqref="G46">
    <cfRule type="cellIs" priority="54" dxfId="0" operator="equal" stopIfTrue="1">
      <formula>0</formula>
    </cfRule>
  </conditionalFormatting>
  <conditionalFormatting sqref="G47 G49:G50">
    <cfRule type="cellIs" priority="53" dxfId="0" operator="equal" stopIfTrue="1">
      <formula>0</formula>
    </cfRule>
  </conditionalFormatting>
  <conditionalFormatting sqref="D49:E58">
    <cfRule type="cellIs" priority="51" dxfId="0" operator="lessThan" stopIfTrue="1">
      <formula>37987</formula>
    </cfRule>
  </conditionalFormatting>
  <conditionalFormatting sqref="B49:B58">
    <cfRule type="cellIs" priority="52" dxfId="0" operator="equal" stopIfTrue="1">
      <formula>0</formula>
    </cfRule>
  </conditionalFormatting>
  <conditionalFormatting sqref="I48:J48">
    <cfRule type="cellIs" priority="50" dxfId="0" operator="equal" stopIfTrue="1">
      <formula>I42</formula>
    </cfRule>
  </conditionalFormatting>
  <conditionalFormatting sqref="H48">
    <cfRule type="cellIs" priority="49" dxfId="0" operator="equal" stopIfTrue="1">
      <formula>0</formula>
    </cfRule>
  </conditionalFormatting>
  <conditionalFormatting sqref="G48">
    <cfRule type="cellIs" priority="48" dxfId="0" operator="equal" stopIfTrue="1">
      <formula>0</formula>
    </cfRule>
  </conditionalFormatting>
  <conditionalFormatting sqref="I49:J49">
    <cfRule type="cellIs" priority="47" dxfId="0" operator="equal" stopIfTrue="1">
      <formula>I43</formula>
    </cfRule>
  </conditionalFormatting>
  <conditionalFormatting sqref="H49">
    <cfRule type="cellIs" priority="46" dxfId="0" operator="equal" stopIfTrue="1">
      <formula>0</formula>
    </cfRule>
  </conditionalFormatting>
  <conditionalFormatting sqref="G49">
    <cfRule type="cellIs" priority="45" dxfId="0" operator="equal" stopIfTrue="1">
      <formula>0</formula>
    </cfRule>
  </conditionalFormatting>
  <conditionalFormatting sqref="I46:I49">
    <cfRule type="cellIs" priority="44" dxfId="0" operator="equal" stopIfTrue="1">
      <formula>I40</formula>
    </cfRule>
  </conditionalFormatting>
  <conditionalFormatting sqref="G50">
    <cfRule type="cellIs" priority="43" dxfId="0" operator="equal" stopIfTrue="1">
      <formula>0</formula>
    </cfRule>
  </conditionalFormatting>
  <conditionalFormatting sqref="I50:J50">
    <cfRule type="cellIs" priority="42" dxfId="0" operator="equal" stopIfTrue="1">
      <formula>I44</formula>
    </cfRule>
  </conditionalFormatting>
  <conditionalFormatting sqref="H50">
    <cfRule type="cellIs" priority="41" dxfId="0" operator="equal" stopIfTrue="1">
      <formula>0</formula>
    </cfRule>
  </conditionalFormatting>
  <conditionalFormatting sqref="I50:J50">
    <cfRule type="cellIs" priority="40" dxfId="0" operator="equal" stopIfTrue="1">
      <formula>I44</formula>
    </cfRule>
  </conditionalFormatting>
  <conditionalFormatting sqref="H50">
    <cfRule type="cellIs" priority="39" dxfId="0" operator="equal" stopIfTrue="1">
      <formula>0</formula>
    </cfRule>
  </conditionalFormatting>
  <conditionalFormatting sqref="I50">
    <cfRule type="cellIs" priority="38" dxfId="0" operator="equal" stopIfTrue="1">
      <formula>I44</formula>
    </cfRule>
  </conditionalFormatting>
  <conditionalFormatting sqref="G51:G57">
    <cfRule type="cellIs" priority="37" dxfId="0" operator="equal" stopIfTrue="1">
      <formula>0</formula>
    </cfRule>
  </conditionalFormatting>
  <conditionalFormatting sqref="G51:G57">
    <cfRule type="cellIs" priority="36" dxfId="0" operator="equal" stopIfTrue="1">
      <formula>0</formula>
    </cfRule>
  </conditionalFormatting>
  <conditionalFormatting sqref="H51:H57">
    <cfRule type="cellIs" priority="34" dxfId="0" operator="equal" stopIfTrue="1">
      <formula>0</formula>
    </cfRule>
  </conditionalFormatting>
  <conditionalFormatting sqref="H51:H57">
    <cfRule type="cellIs" priority="32" dxfId="0" operator="equal" stopIfTrue="1">
      <formula>0</formula>
    </cfRule>
  </conditionalFormatting>
  <conditionalFormatting sqref="G58:G86">
    <cfRule type="cellIs" priority="29" dxfId="0" operator="equal" stopIfTrue="1">
      <formula>0</formula>
    </cfRule>
  </conditionalFormatting>
  <conditionalFormatting sqref="G58:G86">
    <cfRule type="cellIs" priority="28" dxfId="0" operator="equal" stopIfTrue="1">
      <formula>0</formula>
    </cfRule>
  </conditionalFormatting>
  <conditionalFormatting sqref="H58:H86">
    <cfRule type="cellIs" priority="27" dxfId="0" operator="equal" stopIfTrue="1">
      <formula>0</formula>
    </cfRule>
  </conditionalFormatting>
  <conditionalFormatting sqref="H58:H86">
    <cfRule type="cellIs" priority="26" dxfId="0" operator="equal" stopIfTrue="1">
      <formula>0</formula>
    </cfRule>
  </conditionalFormatting>
  <conditionalFormatting sqref="D59:E86">
    <cfRule type="cellIs" priority="16" dxfId="0" operator="lessThan" stopIfTrue="1">
      <formula>37987</formula>
    </cfRule>
  </conditionalFormatting>
  <conditionalFormatting sqref="B59:B86">
    <cfRule type="cellIs" priority="17" dxfId="0" operator="equal" stopIfTrue="1">
      <formula>0</formula>
    </cfRule>
  </conditionalFormatting>
  <conditionalFormatting sqref="G59:G86">
    <cfRule type="cellIs" priority="15" dxfId="0" operator="equal" stopIfTrue="1">
      <formula>0</formula>
    </cfRule>
  </conditionalFormatting>
  <conditionalFormatting sqref="G59:G86">
    <cfRule type="cellIs" priority="14" dxfId="0" operator="equal" stopIfTrue="1">
      <formula>0</formula>
    </cfRule>
  </conditionalFormatting>
  <conditionalFormatting sqref="H59:H86">
    <cfRule type="cellIs" priority="13" dxfId="0" operator="equal" stopIfTrue="1">
      <formula>0</formula>
    </cfRule>
  </conditionalFormatting>
  <conditionalFormatting sqref="H59:H86">
    <cfRule type="cellIs" priority="12" dxfId="0" operator="equal" stopIfTrue="1">
      <formula>0</formula>
    </cfRule>
  </conditionalFormatting>
  <conditionalFormatting sqref="I87:J87">
    <cfRule type="cellIs" priority="11" dxfId="0" operator="equal" stopIfTrue="1">
      <formula>I81</formula>
    </cfRule>
  </conditionalFormatting>
  <conditionalFormatting sqref="G87">
    <cfRule type="cellIs" priority="10" dxfId="0" operator="equal" stopIfTrue="1">
      <formula>0</formula>
    </cfRule>
  </conditionalFormatting>
  <conditionalFormatting sqref="G87">
    <cfRule type="cellIs" priority="9" dxfId="0" operator="equal" stopIfTrue="1">
      <formula>0</formula>
    </cfRule>
  </conditionalFormatting>
  <conditionalFormatting sqref="H87">
    <cfRule type="cellIs" priority="8" dxfId="0" operator="equal" stopIfTrue="1">
      <formula>0</formula>
    </cfRule>
  </conditionalFormatting>
  <conditionalFormatting sqref="H87">
    <cfRule type="cellIs" priority="7" dxfId="0" operator="equal" stopIfTrue="1">
      <formula>0</formula>
    </cfRule>
  </conditionalFormatting>
  <conditionalFormatting sqref="D87:E87">
    <cfRule type="cellIs" priority="5" dxfId="0" operator="lessThan" stopIfTrue="1">
      <formula>37987</formula>
    </cfRule>
  </conditionalFormatting>
  <conditionalFormatting sqref="B87">
    <cfRule type="cellIs" priority="6" dxfId="0" operator="equal" stopIfTrue="1">
      <formula>0</formula>
    </cfRule>
  </conditionalFormatting>
  <conditionalFormatting sqref="G87">
    <cfRule type="cellIs" priority="4" dxfId="0" operator="equal" stopIfTrue="1">
      <formula>0</formula>
    </cfRule>
  </conditionalFormatting>
  <conditionalFormatting sqref="G87">
    <cfRule type="cellIs" priority="3" dxfId="0" operator="equal" stopIfTrue="1">
      <formula>0</formula>
    </cfRule>
  </conditionalFormatting>
  <conditionalFormatting sqref="H87">
    <cfRule type="cellIs" priority="2" dxfId="0" operator="equal" stopIfTrue="1">
      <formula>0</formula>
    </cfRule>
  </conditionalFormatting>
  <conditionalFormatting sqref="H87">
    <cfRule type="cellIs" priority="1" dxfId="0" operator="equal" stopIfTrue="1">
      <formula>0</formula>
    </cfRule>
  </conditionalFormatting>
  <dataValidations count="4">
    <dataValidation type="whole" allowBlank="1" showInputMessage="1" showErrorMessage="1" errorTitle="INGRESE EL VALOR INSOLUTO" error="SOLO NUMEROS ENTEROS POSITIVOS" sqref="F5 C114:D65536 B5:B6 C9 D7">
      <formula1>1</formula1>
      <formula2>100000000000000</formula2>
    </dataValidation>
    <dataValidation type="date" allowBlank="1" showInputMessage="1" showErrorMessage="1" errorTitle="FECHA " error="FORMATO DE FECHA DD/MM/AAAA" sqref="E114:E65536 F147:F65536 D6:F6 D9 E5 C5:C6">
      <formula1>1</formula1>
      <formula2>42369</formula2>
    </dataValidation>
    <dataValidation type="date" allowBlank="1" showInputMessage="1" showErrorMessage="1" sqref="C90:E113 C10:C87">
      <formula1>36526</formula1>
      <formula2>66111</formula2>
    </dataValidation>
    <dataValidation allowBlank="1" showInputMessage="1" showErrorMessage="1" errorTitle="FECHA " error="FORMATO DE FECHA DD/MM/AAAA" sqref="E9"/>
  </dataValidations>
  <printOptions/>
  <pageMargins left="0.7480314960629921" right="0.7480314960629921" top="0.3937007874015748" bottom="0.984251968503937" header="0" footer="0"/>
  <pageSetup horizontalDpi="600" verticalDpi="600" orientation="landscape" scale="65" r:id="rId2"/>
  <headerFooter alignWithMargins="0">
    <oddHeader>&amp;LLiquidador de Intereses Moratorios</oddHeader>
    <oddFooter>&amp;L&amp;8www.consultorcontable.com
DHV ASESORES LTDA&amp;R&amp;D&amp;T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combustibles y transportes hernandez</dc:creator>
  <cp:keywords/>
  <dc:description/>
  <cp:lastModifiedBy>WILIAM</cp:lastModifiedBy>
  <cp:lastPrinted>2014-01-13T13:11:31Z</cp:lastPrinted>
  <dcterms:created xsi:type="dcterms:W3CDTF">2007-08-28T20:32:37Z</dcterms:created>
  <dcterms:modified xsi:type="dcterms:W3CDTF">2019-06-17T02:11:27Z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