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ILIAM\Dropbox\Aplicativos consultor\"/>
    </mc:Choice>
  </mc:AlternateContent>
  <bookViews>
    <workbookView xWindow="0" yWindow="0" windowWidth="20490" windowHeight="7215" tabRatio="170"/>
  </bookViews>
  <sheets>
    <sheet name="PROC1" sheetId="1" r:id="rId1"/>
    <sheet name="PRINT1" sheetId="6" r:id="rId2"/>
    <sheet name="NORMA" sheetId="9" r:id="rId3"/>
    <sheet name="TABLA" sheetId="2" r:id="rId4"/>
    <sheet name="Tabprima" sheetId="12" r:id="rId5"/>
    <sheet name="clave" sheetId="10" r:id="rId6"/>
  </sheets>
  <calcPr calcId="152511"/>
</workbook>
</file>

<file path=xl/calcChain.xml><?xml version="1.0" encoding="utf-8"?>
<calcChain xmlns="http://schemas.openxmlformats.org/spreadsheetml/2006/main">
  <c r="F58" i="6" l="1"/>
  <c r="F59" i="6"/>
  <c r="F60" i="6"/>
  <c r="F61" i="6"/>
  <c r="F62" i="6"/>
  <c r="E56" i="6"/>
  <c r="E57" i="6"/>
  <c r="E58" i="6"/>
  <c r="E59" i="6"/>
  <c r="E60" i="6"/>
  <c r="E61" i="6"/>
  <c r="E62" i="6"/>
  <c r="D56" i="6"/>
  <c r="D57" i="6"/>
  <c r="D58" i="6"/>
  <c r="D59" i="6"/>
  <c r="D60" i="6"/>
  <c r="D61" i="6"/>
  <c r="D62" i="6"/>
  <c r="E40" i="6"/>
  <c r="E41" i="6"/>
  <c r="C28" i="12"/>
  <c r="E48" i="1"/>
  <c r="E43" i="6"/>
  <c r="D41" i="6"/>
  <c r="H46" i="1"/>
  <c r="F21" i="2"/>
  <c r="H64" i="1"/>
  <c r="G54" i="1"/>
  <c r="I68" i="1"/>
  <c r="I67" i="1"/>
  <c r="I75" i="1"/>
  <c r="F66" i="6"/>
  <c r="D23" i="12"/>
  <c r="C31" i="12"/>
  <c r="D72" i="6"/>
  <c r="D71" i="6"/>
  <c r="F57" i="6"/>
  <c r="E55" i="6"/>
  <c r="D63" i="6"/>
  <c r="D55" i="6"/>
  <c r="D54" i="6"/>
  <c r="E50" i="6"/>
  <c r="D50" i="6"/>
  <c r="E42" i="6"/>
  <c r="D42" i="6"/>
  <c r="D40" i="6"/>
  <c r="G59" i="1"/>
  <c r="H47" i="1"/>
  <c r="H45" i="1"/>
  <c r="I45" i="1"/>
  <c r="J45" i="1"/>
  <c r="H44" i="1"/>
  <c r="I44" i="1"/>
  <c r="E63" i="1"/>
  <c r="E54" i="6"/>
  <c r="I71" i="1"/>
  <c r="I70" i="1"/>
  <c r="I69" i="1"/>
  <c r="I66" i="1"/>
  <c r="I54" i="1"/>
  <c r="J54" i="1" s="1"/>
  <c r="G56" i="1"/>
  <c r="H56" i="1"/>
  <c r="I55" i="1" s="1"/>
  <c r="I47" i="1"/>
  <c r="J47" i="1"/>
  <c r="G53" i="1"/>
  <c r="I53" i="1" s="1"/>
  <c r="F29" i="6"/>
  <c r="F28" i="6"/>
  <c r="E27" i="6"/>
  <c r="D27" i="6"/>
  <c r="I31" i="1"/>
  <c r="F27" i="6"/>
  <c r="E8" i="6"/>
  <c r="F10" i="6"/>
  <c r="E10" i="6"/>
  <c r="F14" i="6"/>
  <c r="E14" i="6"/>
  <c r="D14" i="6"/>
  <c r="D38" i="6"/>
  <c r="D15" i="6"/>
  <c r="D3" i="6"/>
  <c r="D78" i="6"/>
  <c r="D77" i="6"/>
  <c r="D76" i="6"/>
  <c r="D74" i="6"/>
  <c r="D69" i="6"/>
  <c r="D67" i="6"/>
  <c r="D66" i="6"/>
  <c r="D65" i="6"/>
  <c r="D51" i="6"/>
  <c r="D49" i="6"/>
  <c r="D48" i="6"/>
  <c r="D45" i="6"/>
  <c r="D43" i="6"/>
  <c r="D39" i="6"/>
  <c r="D34" i="6"/>
  <c r="D33" i="6"/>
  <c r="D32" i="6"/>
  <c r="D31" i="6"/>
  <c r="D30" i="6"/>
  <c r="D29" i="6"/>
  <c r="D28" i="6"/>
  <c r="D26" i="6"/>
  <c r="D25" i="6"/>
  <c r="D24" i="6"/>
  <c r="D23" i="6"/>
  <c r="D22" i="6"/>
  <c r="D21" i="6"/>
  <c r="D20" i="6"/>
  <c r="D19" i="6"/>
  <c r="D18" i="6"/>
  <c r="D17" i="6"/>
  <c r="D16" i="6"/>
  <c r="E12" i="6"/>
  <c r="E11" i="6"/>
  <c r="D8" i="6"/>
  <c r="D279" i="1"/>
  <c r="D278" i="1"/>
  <c r="D280" i="1" s="1"/>
  <c r="E48" i="6"/>
  <c r="E49" i="6"/>
  <c r="E39" i="6"/>
  <c r="E17" i="6"/>
  <c r="E18" i="6"/>
  <c r="E19" i="6"/>
  <c r="E20" i="6"/>
  <c r="E21" i="6"/>
  <c r="E22" i="6"/>
  <c r="E23" i="6"/>
  <c r="E24" i="6"/>
  <c r="E25" i="6"/>
  <c r="E26" i="6"/>
  <c r="E28" i="6"/>
  <c r="E29" i="6"/>
  <c r="E30" i="6"/>
  <c r="E31" i="6"/>
  <c r="E32" i="6"/>
  <c r="E33" i="6"/>
  <c r="E16" i="6"/>
  <c r="F12" i="6"/>
  <c r="F11" i="6"/>
  <c r="F8" i="6"/>
  <c r="D11" i="6"/>
  <c r="D10" i="6"/>
  <c r="D9" i="6"/>
  <c r="D102" i="1"/>
  <c r="D104" i="1" s="1"/>
  <c r="J81" i="1" s="1"/>
  <c r="I29" i="1"/>
  <c r="F25" i="6"/>
  <c r="I35" i="1"/>
  <c r="F31" i="6"/>
  <c r="I36" i="1"/>
  <c r="F32" i="6"/>
  <c r="I27" i="1"/>
  <c r="F23" i="6"/>
  <c r="I37" i="1"/>
  <c r="F33" i="6"/>
  <c r="I30" i="1"/>
  <c r="F26" i="6"/>
  <c r="I28" i="1"/>
  <c r="F24" i="6"/>
  <c r="I26" i="1"/>
  <c r="F22" i="6"/>
  <c r="I25" i="1"/>
  <c r="F21" i="6"/>
  <c r="I24" i="1"/>
  <c r="F20" i="6"/>
  <c r="I23" i="1"/>
  <c r="F19" i="6"/>
  <c r="I22" i="1"/>
  <c r="F18" i="6"/>
  <c r="I21" i="1"/>
  <c r="F17" i="6"/>
  <c r="I20" i="1"/>
  <c r="F16" i="6"/>
  <c r="E38" i="1"/>
  <c r="E34" i="6"/>
  <c r="E5" i="1"/>
  <c r="B5" i="6"/>
  <c r="F42" i="6"/>
  <c r="F30" i="6"/>
  <c r="G78" i="6"/>
  <c r="F40" i="6"/>
  <c r="I38" i="1"/>
  <c r="E39" i="1"/>
  <c r="F34" i="6"/>
  <c r="F39" i="6"/>
  <c r="J44" i="1"/>
  <c r="G55" i="1"/>
  <c r="H55" i="1"/>
  <c r="H63" i="1"/>
  <c r="I63" i="1"/>
  <c r="F54" i="6" s="1"/>
  <c r="G46" i="1"/>
  <c r="J46" i="1"/>
  <c r="I46" i="1"/>
  <c r="I48" i="1" s="1"/>
  <c r="I41" i="1"/>
  <c r="F36" i="6"/>
  <c r="F41" i="6"/>
  <c r="I59" i="1" l="1"/>
  <c r="I50" i="1"/>
  <c r="F43" i="6"/>
  <c r="F48" i="6"/>
  <c r="I57" i="1"/>
  <c r="J53" i="1"/>
  <c r="F50" i="6"/>
  <c r="J55" i="1"/>
  <c r="I72" i="1"/>
  <c r="F63" i="6" s="1"/>
  <c r="F49" i="6"/>
  <c r="D16" i="1"/>
  <c r="F51" i="6" l="1"/>
  <c r="F45" i="6"/>
  <c r="F71" i="6"/>
  <c r="I74" i="1"/>
  <c r="G74" i="6"/>
  <c r="D83" i="6"/>
  <c r="I76" i="1" l="1"/>
  <c r="F65" i="6"/>
  <c r="G78" i="1" l="1"/>
  <c r="F67" i="6"/>
  <c r="H78" i="1"/>
  <c r="I78" i="1" s="1"/>
  <c r="F69" i="6" l="1"/>
  <c r="C30" i="12"/>
  <c r="C32" i="12" s="1"/>
  <c r="D24" i="12" s="1"/>
  <c r="D25" i="12" s="1"/>
  <c r="H7" i="12" s="1"/>
  <c r="I60" i="1"/>
  <c r="F72" i="6" l="1"/>
  <c r="I81" i="1"/>
  <c r="G17" i="12"/>
  <c r="H17" i="12" s="1"/>
  <c r="G13" i="12"/>
  <c r="H13" i="12" s="1"/>
  <c r="G14" i="12"/>
  <c r="H14" i="12" s="1"/>
  <c r="G16" i="12"/>
  <c r="H16" i="12" s="1"/>
  <c r="G12" i="12"/>
  <c r="H12" i="12" s="1"/>
  <c r="G15" i="12"/>
  <c r="H15" i="12" s="1"/>
  <c r="F74" i="6" l="1"/>
  <c r="H7" i="2"/>
  <c r="H18" i="12"/>
  <c r="I86" i="1" s="1"/>
  <c r="F77" i="6" l="1"/>
  <c r="J86" i="1"/>
  <c r="F20" i="2"/>
  <c r="F22" i="2" s="1"/>
  <c r="F23" i="2" s="1"/>
  <c r="F24" i="2" s="1"/>
  <c r="G12" i="2"/>
  <c r="H12" i="2" s="1"/>
  <c r="G14" i="2"/>
  <c r="H14" i="2" s="1"/>
  <c r="G17" i="2"/>
  <c r="H17" i="2" s="1"/>
  <c r="G15" i="2"/>
  <c r="H15" i="2" s="1"/>
  <c r="G16" i="2"/>
  <c r="H16" i="2" s="1"/>
  <c r="G13" i="2"/>
  <c r="H13" i="2" s="1"/>
  <c r="H18" i="2" l="1"/>
  <c r="I85" i="1" l="1"/>
  <c r="F27" i="2"/>
  <c r="F76" i="6" l="1"/>
  <c r="I87" i="1"/>
  <c r="F78" i="6" s="1"/>
  <c r="J85" i="1"/>
</calcChain>
</file>

<file path=xl/comments1.xml><?xml version="1.0" encoding="utf-8"?>
<comments xmlns="http://schemas.openxmlformats.org/spreadsheetml/2006/main">
  <authors>
    <author>familia</author>
    <author>Leonardo</author>
  </authors>
  <commentList>
    <comment ref="D29" authorId="0" shapeId="0">
      <text>
        <r>
          <rPr>
            <b/>
            <sz val="8"/>
            <color indexed="81"/>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color indexed="81"/>
            <rFont val="Tahoma"/>
            <family val="2"/>
          </rPr>
          <t xml:space="preserve">
</t>
        </r>
      </text>
    </comment>
    <comment ref="D32" authorId="1" shapeId="0">
      <text>
        <r>
          <rPr>
            <b/>
            <sz val="9"/>
            <color indexed="81"/>
            <rFont val="Tahoma"/>
            <family val="2"/>
          </rPr>
          <t>Concepto 24990 de abril de 2014</t>
        </r>
        <r>
          <rPr>
            <sz val="9"/>
            <color indexed="81"/>
            <rFont val="Tahoma"/>
            <family val="2"/>
          </rPr>
          <t xml:space="preserve">
En conclusión para el caso que nos ocupa el pago de las cesantías e intereses a las mismas no hacen parte de la base gravable para la aplicación del artículo 384 del E.T. por cuanto la base será la determinada mediante el procedimiento previsto en el artículo 2 del Decreto 1070 de 2013 antes explicado.</t>
        </r>
      </text>
    </comment>
    <comment ref="D34" authorId="0" shapeId="0">
      <text>
        <r>
          <rPr>
            <b/>
            <sz val="9"/>
            <color indexed="81"/>
            <rFont val="Tahoma"/>
            <family val="2"/>
          </rPr>
          <t xml:space="preserve">Por el método 1, este valor debe calcularse de forma independiente
</t>
        </r>
      </text>
    </comment>
    <comment ref="D47" authorId="0" shapeId="0">
      <text>
        <r>
          <rPr>
            <b/>
            <sz val="9"/>
            <color indexed="81"/>
            <rFont val="Tahoma"/>
            <family val="2"/>
          </rPr>
          <t xml:space="preserve">ARTÍCULO 56. APORTES OBLIGATORIOS AL SISTEMA GENERAL DE SALUD. </t>
        </r>
        <r>
          <rPr>
            <sz val="9"/>
            <color indexed="81"/>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 ref="D53" authorId="0" shapeId="0">
      <text>
        <r>
          <rPr>
            <b/>
            <sz val="9"/>
            <color indexed="81"/>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54" authorId="0" shapeId="0">
      <text>
        <r>
          <rPr>
            <b/>
            <sz val="9"/>
            <color indexed="81"/>
            <rFont val="Tahoma"/>
            <family val="2"/>
          </rPr>
          <t xml:space="preserve">Art 387 ET, </t>
        </r>
        <r>
          <rPr>
            <sz val="9"/>
            <color indexed="81"/>
            <rFont val="Tahoma"/>
            <family val="2"/>
          </rPr>
          <t xml:space="preserve">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color indexed="81"/>
            <rFont val="Tahoma"/>
            <family val="2"/>
          </rPr>
          <t>PARÁGRAFO 1o.</t>
        </r>
        <r>
          <rPr>
            <sz val="9"/>
            <color indexed="81"/>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Los pagos efectuados en el año gravable inmediatamente anterior por contratos de prestación de servicios a empresas de medicina prepagada vigiladas por la Superintendencia Nacional de Salud y por seguros de salud, expedidos por compañías de seguros vigiladas por la Superintendencia Financiera de Colombia, que impliquen protección al trabajador, su cónyuge, sus hijos y/o dependientes y sin exceder de dieciséis (16) UVT mensuales (equivalentes a $ 429.000).  Oficio 041556 de 2013 (Julio 8) </t>
        </r>
      </text>
    </comment>
    <comment ref="D55" authorId="0" shapeId="0">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color indexed="81"/>
            <rFont val="Tahoma"/>
            <family val="2"/>
          </rPr>
          <t xml:space="preserve">
</t>
        </r>
      </text>
    </comment>
  </commentList>
</comments>
</file>

<file path=xl/comments2.xml><?xml version="1.0" encoding="utf-8"?>
<comments xmlns="http://schemas.openxmlformats.org/spreadsheetml/2006/main">
  <authors>
    <author>familia</author>
  </authors>
  <commentList>
    <comment ref="D48" authorId="0" shapeId="0">
      <text>
        <r>
          <rPr>
            <b/>
            <sz val="9"/>
            <color indexed="81"/>
            <rFont val="Tahoma"/>
            <family val="2"/>
          </rPr>
          <t>Deducción de los aportes obligatorios</t>
        </r>
        <r>
          <rPr>
            <sz val="9"/>
            <color indexed="81"/>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9" authorId="0" shapeId="0">
      <text>
        <r>
          <rPr>
            <b/>
            <sz val="9"/>
            <color indexed="81"/>
            <rFont val="Tahoma"/>
            <family val="2"/>
          </rPr>
          <t>Deducción de los aportes obligatorios</t>
        </r>
        <r>
          <rPr>
            <sz val="9"/>
            <color indexed="81"/>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0" authorId="0" shapeId="0">
      <text>
        <r>
          <rPr>
            <b/>
            <sz val="9"/>
            <color indexed="81"/>
            <rFont val="Tahoma"/>
            <family val="2"/>
          </rPr>
          <t>Deducción de los aportes obligatorios</t>
        </r>
        <r>
          <rPr>
            <sz val="9"/>
            <color indexed="81"/>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1" authorId="0" shapeId="0">
      <text>
        <r>
          <rPr>
            <b/>
            <sz val="9"/>
            <color indexed="81"/>
            <rFont val="Tahoma"/>
            <family val="2"/>
          </rPr>
          <t>Deducción de los aportes obligatorios</t>
        </r>
        <r>
          <rPr>
            <sz val="9"/>
            <color indexed="81"/>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List>
</comments>
</file>

<file path=xl/sharedStrings.xml><?xml version="1.0" encoding="utf-8"?>
<sst xmlns="http://schemas.openxmlformats.org/spreadsheetml/2006/main" count="192" uniqueCount="151">
  <si>
    <t>&gt;0</t>
  </si>
  <si>
    <t>En adelante</t>
  </si>
  <si>
    <t>240 UVT</t>
  </si>
  <si>
    <t>MÁS</t>
  </si>
  <si>
    <t>UVT</t>
  </si>
  <si>
    <t>TOTAL INGRESOS AÑO ANTERIOR</t>
  </si>
  <si>
    <t>Art. 383 del ET (Art. 23 ley 1111 de 2006)</t>
  </si>
  <si>
    <t>Tabla netamente informativa</t>
  </si>
  <si>
    <t>NORMATIVIDAD  RETEFUENTE  SOBRE SALARIOS</t>
  </si>
  <si>
    <t xml:space="preserve">OBSERVACIONES                                                                                                                                           </t>
  </si>
  <si>
    <t>Se deben incluir en la depuración de ingresos:</t>
  </si>
  <si>
    <t xml:space="preserve">Se deben incluir  conceptos tales como sueldos, horas extras, recargos nocturnos, recargos dominicales, porcentajes sobre ventas, sobresueldos, comisiones, bonificaciones, ocasionales y extralegales,  vacaciones, primas extralegales  etc. (Art. 127 y 128 CST) </t>
  </si>
  <si>
    <t>Recuerde que la prima legal de servicios para el sector Privado, o prima de navidad  para el sector público en el procedimiento N. 1 se calcula de forma independiente, mientras que  en el procedimiento N. 2 forma parte de la depuración de la base. (Art. 385 ET)</t>
  </si>
  <si>
    <t>Casos especiales de ingresos:</t>
  </si>
  <si>
    <t>Las indemnizaciones  por despido injustificado tiene el siguiente tratamiento: Para trabajadores  que devenguen ingresos inferiores o iguales a 204 UVT  la tarifa es 0%; si los ingresos son superiores a 204 UVT la tarifa es del 20%  (Art. 401-3 del ET) (Concepto DIAN 15071 de marzo de 2003) sin perjuicio de la parte exenta  que establece el Art. 206 Numeral 10 del ET.</t>
  </si>
  <si>
    <t>La retefuente sobre  las bonificaciones  por retiro  definitivo  originadas  de una relación  laboral  o legal reglamentaria  se  calcula de acuerdo al Art. 401-3 del ET.</t>
  </si>
  <si>
    <t>Para los empleados que devenguen salario integral,  se sigue el mismo procedimiento que para los   trabajadores con salario ordinario, y la base de cotización  para pensión se calculará sobre el 70% de dicho salario (Art 206 del ET; Art. 96 de la Ley 223/95; Art. 65 DR 806/98</t>
  </si>
  <si>
    <r>
      <t>No se debe incluir en los ingresos</t>
    </r>
    <r>
      <rPr>
        <b/>
        <sz val="10"/>
        <rFont val="Tahoma"/>
        <family val="2"/>
      </rPr>
      <t>:</t>
    </r>
  </si>
  <si>
    <r>
      <t>Reembolsos de gastos</t>
    </r>
    <r>
      <rPr>
        <sz val="10"/>
        <rFont val="Tahoma"/>
        <family val="2"/>
      </rPr>
      <t>: Los Reembolsos de gastos  no están sometidos a la depuración de retefuente por salarios  si  los trabajadores  entregan al pagador los soportes para que este los contabilice como gasto (DR 535/87 Art. 10); si los gastos son retribución  ordinaria del servicio forma parte de la base de la depuración tanto del procedimiento N. 1 y 2 (Art. 8 DR 823/87)</t>
    </r>
  </si>
  <si>
    <t>Los viáticos ocasionales tampoco se incluyen en  la base del cálculo.</t>
  </si>
  <si>
    <r>
      <t>Medios de Transporte:</t>
    </r>
    <r>
      <rPr>
        <sz val="10"/>
        <rFont val="Tahoma"/>
        <family val="2"/>
      </rPr>
      <t xml:space="preserve"> Estos pagos, diferentes al subsidio de transporte, para el  de las funciones del empleado no es un ingreso tributario, precisamente por no ser para su beneficio  ni para subvenir a sus necesidades, por consiguiente no está sometido a retención en la fuente. Dentro de tal naturaleza quedan comprendidos los pagos hechos a mensajeros, estafetas etc., quienes deben cumplir funciones fuera de su sede habitual de trabajo. </t>
    </r>
  </si>
  <si>
    <t>(El patrono podrá demostrar la calidad de dichos pagos con los comprobantes de egreso y la relación de funciones que cumple el trabajador (Concepto DIAN 18381, Jul 30/909)</t>
  </si>
  <si>
    <r>
      <t>Viáticos de empleados oficiales:</t>
    </r>
    <r>
      <rPr>
        <sz val="10"/>
        <rFont val="Tahoma"/>
        <family val="2"/>
      </rPr>
      <t xml:space="preserve"> Las sumas recibidas por los empleados oficiales cuya vinculación  se origine en su relación legal o reglamentaria, por concepto de viáticos destinados a sufragar exclusivamente  sus gastos de manutención  y alojamiento  durante el desempeño de comisiones oficiales, que no correspondan a  retribución ordinaria del servicio, no se consideran  para los efectos fiscales  como ingresos gravados en cabeza del trabajador, sino como gasto directo de la respectiva entidad pagadora  (Art. 8 DR 823/87) </t>
    </r>
  </si>
  <si>
    <t xml:space="preserve"> Otras observaciones:</t>
  </si>
  <si>
    <t>www.consultorcontable.com</t>
  </si>
  <si>
    <t xml:space="preserve">      Digite los datos del empleado</t>
  </si>
  <si>
    <t>16 UVT</t>
  </si>
  <si>
    <r>
      <t xml:space="preserve">Art. 387 del ET . </t>
    </r>
    <r>
      <rPr>
        <b/>
        <sz val="10"/>
        <rFont val="Tahoma"/>
        <family val="2"/>
      </rPr>
      <t>Deducciones que se restarán de la base de retención</t>
    </r>
    <r>
      <rPr>
        <sz val="10"/>
        <rFont val="Tahoma"/>
        <family val="2"/>
      </rPr>
      <t xml:space="preserve">. En el caso de trabajadores que tengan derecho a la deducción por intereses o corrección monetaria en virtud de préstamos para adquisición de vivienda, la base de retención se disminuirá proporcionalmente en la forma que indique el reglamento.
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Parágrafo 1.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Parágrafo  2. Definición de dependientes:
Para propósitos de este artículo tendrán la  calidad de dependientes:
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
</t>
    </r>
  </si>
  <si>
    <t>Si los pagos se realizan en periodos inferiores a 30 días, se debe dividir los  pagos gravables recibidos directa o indirectamente  en el número de días a que correspondan tales pagos y su resultado se multiplica por 30  Art. 385 del ET</t>
  </si>
  <si>
    <t>Procedimiento No. 1</t>
  </si>
  <si>
    <t>Digite el nombre de la empresa</t>
  </si>
  <si>
    <t>Datos</t>
  </si>
  <si>
    <t>Limites</t>
  </si>
  <si>
    <t>Depuración</t>
  </si>
  <si>
    <t>Mes</t>
  </si>
  <si>
    <t xml:space="preserve">Valor UVT </t>
  </si>
  <si>
    <t>Conceptos</t>
  </si>
  <si>
    <t>Subtotal  (A)</t>
  </si>
  <si>
    <t>Total deducciones</t>
  </si>
  <si>
    <t>Subtotal  (C)</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</si>
  <si>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</si>
  <si>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</si>
  <si>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</si>
  <si>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</si>
  <si>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</si>
  <si>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</si>
  <si>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</si>
  <si>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</si>
  <si>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</si>
  <si>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</si>
  <si>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</si>
  <si>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</si>
  <si>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</si>
  <si>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</si>
  <si>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</si>
  <si>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</si>
  <si>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</si>
  <si>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</si>
  <si>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Digite nombre del trabajador</t>
  </si>
  <si>
    <t>Prima</t>
  </si>
  <si>
    <t>Salarios</t>
  </si>
  <si>
    <t xml:space="preserve">Prima </t>
  </si>
  <si>
    <t>Menos renta exenta 25%</t>
  </si>
  <si>
    <t>Limite 240 UVT</t>
  </si>
  <si>
    <t>Base de retención prima</t>
  </si>
  <si>
    <t>Exceso de las 41 UVT por pagos por concepto de alimentación (art 387-1 ET)</t>
  </si>
  <si>
    <t>Otros auxilios (movilidad, alimentación, etc.)</t>
  </si>
  <si>
    <t>Viáticos</t>
  </si>
  <si>
    <t>100 UVT , promedio año anterior</t>
  </si>
  <si>
    <t>Formulas Limites</t>
  </si>
  <si>
    <t/>
  </si>
  <si>
    <t>Menos Deducciones</t>
  </si>
  <si>
    <t>__________________</t>
  </si>
  <si>
    <t>Revisó</t>
  </si>
  <si>
    <t>Menos rentas exentas</t>
  </si>
  <si>
    <t>Menos deducciones</t>
  </si>
  <si>
    <t>Aportes a Fondos de Pensiones Voluntarias (art. 126-1 ET)</t>
  </si>
  <si>
    <t>Por dependientes (Art 387 ET)</t>
  </si>
  <si>
    <t>Menos renta exenta -25%  del subtotal (C)  (Numeral 10 art. 206 ET)</t>
  </si>
  <si>
    <t>Total pagos laborales en el mes</t>
  </si>
  <si>
    <t>Aportes voluntarios del empleador a Fondos de Pensiones (art. 126-1 ET)</t>
  </si>
  <si>
    <t>Fondo de Solidaridad Pensional</t>
  </si>
  <si>
    <t>Valor retención en la fuente Art. 383 ET</t>
  </si>
  <si>
    <t>Valor retención en la fuente a practicar por prima de servicios (art. 383 ET)</t>
  </si>
  <si>
    <t>25% prima</t>
  </si>
  <si>
    <t>Total 25%</t>
  </si>
  <si>
    <t>Total retenciones a practicar (Art. 383 ET)</t>
  </si>
  <si>
    <t xml:space="preserve">CC. </t>
  </si>
  <si>
    <t>Licencia de maternidad</t>
  </si>
  <si>
    <t>Intereses por prestamos de vivienda (promedio año anterior o los meses correspondientes)</t>
  </si>
  <si>
    <t>Pagos por salud prepagada, Plan complementario de salud, o seguros de salud (art 387 ET)- Promedio del año anterior</t>
  </si>
  <si>
    <t xml:space="preserve">Total Ingresos mes </t>
  </si>
  <si>
    <t>Otros ingresos laborales- Bonos, cheques electrónicos, pagos indirectos</t>
  </si>
  <si>
    <t>Total Ingresos mes (sin cesantías, prima, e intereses de cesantías)</t>
  </si>
  <si>
    <t>Aportes voluntarios del empleador a fondos de pensiones  (art 126-1 ET)</t>
  </si>
  <si>
    <t xml:space="preserve">www.consultorcontable.com </t>
  </si>
  <si>
    <t>Aportes obligatorios a Fondos de Pensiones (art. 55 ET)</t>
  </si>
  <si>
    <t>Sin límites</t>
  </si>
  <si>
    <t>Total renta exentas</t>
  </si>
  <si>
    <t>Total renta exentas (incluye el 25%) y deducciones</t>
  </si>
  <si>
    <t>Base</t>
  </si>
  <si>
    <t>No puede exceder de 5.040 UVT</t>
  </si>
  <si>
    <t>Cesantías (no se tienen en cuenta para efectos de la retención en la fuente)</t>
  </si>
  <si>
    <t>Intereses sobre cesantías  (no se tienen en cuenta para efectos de la retención en la fuente)</t>
  </si>
  <si>
    <t>Subtotal  (B)</t>
  </si>
  <si>
    <t>Límite del 40% sobre RE y Deducciones (excluir cesantías)</t>
  </si>
  <si>
    <t>Subtotal  (A) (total ingresos)- sin cesantías ni intereses de cesantías</t>
  </si>
  <si>
    <t>Menos ingresos no constitutivos de renta ni ganancia ocasional</t>
  </si>
  <si>
    <t>Total ingresos no constitutivos de renta ni ganancia ocasional</t>
  </si>
  <si>
    <t>Valor de la prima de servicios</t>
  </si>
  <si>
    <t>Indemnizaciones por accidentes de trabajo o enfermedad (art 206 ET Num 1)</t>
  </si>
  <si>
    <t>Gastos de entierro del trabajador (art 206 ET Num 3)</t>
  </si>
  <si>
    <t>Descuentos hechos por la empresa con destino a cuentas AFC, AVC (art 126-4 ET)</t>
  </si>
  <si>
    <t xml:space="preserve">Art. 383 del ET </t>
  </si>
  <si>
    <t>25 % del ingreso laboral y hasta 2.500 UVT</t>
  </si>
  <si>
    <r>
      <t xml:space="preserve">Aportes voluntarios a fondos de pensiones obligatorios (Régimen ahorro individual) </t>
    </r>
    <r>
      <rPr>
        <sz val="8"/>
        <rFont val="Arial"/>
        <family val="2"/>
      </rPr>
      <t>(Art. 55 ET)</t>
    </r>
  </si>
  <si>
    <t>Renta exenta 25% sueldo</t>
  </si>
  <si>
    <t>El aplicativo calcúla la retefuente de la prima de forma independiente</t>
  </si>
  <si>
    <t>(30%) del ingreso laboral o ingreso tributario del año, y hasta (3.800) UVT por año.</t>
  </si>
  <si>
    <t>Indemnizaciones proteccion a la maternidad (art 206 ET Num 2)</t>
  </si>
  <si>
    <t>Otras rentas exentas (Art. 206 ET)</t>
  </si>
  <si>
    <t>Gastos de representación de los rectores y profesores de las U. públ. (art 206 ET Num 9)</t>
  </si>
  <si>
    <t>Aportes obligatorios al sistema de salud (art. 56 ET)</t>
  </si>
  <si>
    <t>Hasta 10% del total de ingresos brutos laborales  y hasta 32 UVT</t>
  </si>
  <si>
    <t>William Dussan Salazar</t>
  </si>
  <si>
    <t>Leonardo Varón García</t>
  </si>
  <si>
    <t xml:space="preserve">       leovarong@yahoo.com</t>
  </si>
  <si>
    <t>consultorcontable1@gmail.com</t>
  </si>
  <si>
    <t>Año 2020</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</si>
  <si>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</si>
  <si>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</si>
  <si>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</si>
  <si>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</si>
  <si>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</si>
  <si>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</si>
  <si>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Este aplicativo funciona correctamente mientras esté vigente la normatividad  que a enero de  2020 está vigente.</t>
  </si>
  <si>
    <t>Año 2021</t>
  </si>
  <si>
    <t>Enero de 2021</t>
  </si>
  <si>
    <t>Febrero de 2021</t>
  </si>
  <si>
    <t>Marzo de 2021</t>
  </si>
  <si>
    <t>Abril de 2021</t>
  </si>
  <si>
    <t>Mayo de 2021</t>
  </si>
  <si>
    <t>Junio de 2021</t>
  </si>
  <si>
    <t>Julio de 2021</t>
  </si>
  <si>
    <t>Agosto de 2021</t>
  </si>
  <si>
    <t>Septiembre de 2021</t>
  </si>
  <si>
    <t>Octubre de 2021</t>
  </si>
  <si>
    <t>Diciembre de 2021</t>
  </si>
  <si>
    <t>Noviembre de 2021</t>
  </si>
  <si>
    <t>Descargar nuevas versiones</t>
  </si>
  <si>
    <t>Retención aplicable para el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</si>
</sst>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 #,##0_ ;_ * \-#,##0_ ;_ * &quot;-&quot;_ ;_ @_ "/>
    <numFmt numFmtId="165" formatCode="_ &quot;$&quot;\ * #,##0.00_ ;_ &quot;$&quot;\ * \-#,##0.00_ ;_ &quot;$&quot;\ * &quot;-&quot;??_ ;_ @_ "/>
    <numFmt numFmtId="166" formatCode="_ * #,##0.00_ ;_ * \-#,##0.00_ ;_ * &quot;-&quot;??_ ;_ @_ "/>
    <numFmt numFmtId="167" formatCode="_ * #,##0.0_ ;_ * \-#,##0.0_ ;_ * &quot;-&quot;??_ ;_ @_ "/>
    <numFmt numFmtId="168" formatCode="_ * #,##0_ ;_ * \-#,##0_ ;_ * &quot;-&quot;??_ ;_ @_ "/>
    <numFmt numFmtId="169" formatCode="0.0"/>
    <numFmt numFmtId="170" formatCode="_ &quot;$&quot;\ * #,##0_ ;_ &quot;$&quot;\ * \-#,##0_ ;_ &quot;$&quot;\ * &quot;-&quot;??_ ;_ @_ "/>
    <numFmt numFmtId="171" formatCode="0.0%"/>
    <numFmt numFmtId="172" formatCode="[$-C0A]d\-mmm\-yy;@"/>
    <numFmt numFmtId="173" formatCode="_ * #,##0.0_ ;_ * \-#,##0.0_ ;_ * &quot;-&quot;_ ;_ @_ "/>
    <numFmt numFmtId="174" formatCode="_-* #,##0.0_-;\-* #,##0.0_-;_-* &quot;-&quot;?_-;_-@_-"/>
  </numFmts>
  <fonts count="66" x14ac:knownFonts="1">
    <font>
      <sz val="10"/>
      <name val="Arial"/>
    </font>
    <font>
      <sz val="10"/>
      <name val="Arial"/>
    </font>
    <font>
      <sz val="8"/>
      <name val="Arial"/>
      <family val="2"/>
    </font>
    <font>
      <b/>
      <sz val="10"/>
      <name val="Arial"/>
      <family val="2"/>
    </font>
    <font>
      <sz val="11"/>
      <name val="Arial"/>
      <family val="2"/>
    </font>
    <font>
      <sz val="10"/>
      <name val="Arial"/>
      <family val="2"/>
    </font>
    <font>
      <sz val="11"/>
      <color indexed="13"/>
      <name val="Verdana"/>
      <family val="2"/>
    </font>
    <font>
      <b/>
      <sz val="10"/>
      <color indexed="9"/>
      <name val="Arial"/>
      <family val="2"/>
    </font>
    <font>
      <sz val="10"/>
      <color indexed="9"/>
      <name val="Arial"/>
      <family val="2"/>
    </font>
    <font>
      <u/>
      <sz val="10"/>
      <color indexed="12"/>
      <name val="Arial"/>
      <family val="2"/>
    </font>
    <font>
      <sz val="10"/>
      <color indexed="13"/>
      <name val="Arial"/>
      <family val="2"/>
    </font>
    <font>
      <b/>
      <sz val="10"/>
      <name val="Tahoma"/>
      <family val="2"/>
    </font>
    <font>
      <b/>
      <sz val="12"/>
      <name val="Arial"/>
      <family val="2"/>
    </font>
    <font>
      <i/>
      <sz val="11"/>
      <name val="Arial"/>
      <family val="2"/>
    </font>
    <font>
      <b/>
      <sz val="11"/>
      <color indexed="9"/>
      <name val="Arial"/>
      <family val="2"/>
    </font>
    <font>
      <b/>
      <sz val="12"/>
      <name val="Tahoma"/>
      <family val="2"/>
    </font>
    <font>
      <sz val="10"/>
      <color indexed="56"/>
      <name val="Arial"/>
      <family val="2"/>
    </font>
    <font>
      <sz val="12"/>
      <name val="Times New Roman"/>
      <family val="1"/>
    </font>
    <font>
      <sz val="10"/>
      <name val="Tahoma"/>
      <family val="2"/>
    </font>
    <font>
      <sz val="12"/>
      <name val="Tahoma"/>
      <family val="2"/>
    </font>
    <font>
      <sz val="9"/>
      <color indexed="81"/>
      <name val="Tahoma"/>
      <family val="2"/>
    </font>
    <font>
      <b/>
      <sz val="9"/>
      <color indexed="81"/>
      <name val="Tahoma"/>
      <family val="2"/>
    </font>
    <font>
      <sz val="10"/>
      <color indexed="8"/>
      <name val="Arial"/>
      <family val="2"/>
    </font>
    <font>
      <b/>
      <sz val="14"/>
      <color indexed="11"/>
      <name val="Arial"/>
      <family val="2"/>
    </font>
    <font>
      <b/>
      <sz val="16"/>
      <color indexed="11"/>
      <name val="Arial"/>
      <family val="2"/>
    </font>
    <font>
      <sz val="11"/>
      <color indexed="13"/>
      <name val="Arial"/>
      <family val="2"/>
    </font>
    <font>
      <sz val="10"/>
      <color indexed="12"/>
      <name val="Arial"/>
      <family val="2"/>
    </font>
    <font>
      <b/>
      <sz val="10"/>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color indexed="81"/>
      <name val="Tahoma"/>
      <family val="2"/>
    </font>
    <font>
      <sz val="8"/>
      <color indexed="81"/>
      <name val="Tahoma"/>
      <family val="2"/>
    </font>
    <font>
      <sz val="10"/>
      <name val="Arial"/>
    </font>
    <font>
      <b/>
      <sz val="10"/>
      <color rgb="FF0000FF"/>
      <name val="Tahoma"/>
      <family val="2"/>
    </font>
    <font>
      <b/>
      <sz val="20"/>
      <color theme="0"/>
      <name val="Times New Roman"/>
      <family val="1"/>
    </font>
    <font>
      <u/>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1"/>
      <color theme="1"/>
      <name val="Arial"/>
      <family val="2"/>
    </font>
    <font>
      <sz val="14"/>
      <color rgb="FFFF0000"/>
      <name val="Arial"/>
      <family val="2"/>
    </font>
    <font>
      <sz val="10"/>
      <color theme="1"/>
      <name val="Arial"/>
      <family val="2"/>
    </font>
    <font>
      <b/>
      <sz val="14"/>
      <color theme="1"/>
      <name val="Arial"/>
      <family val="2"/>
    </font>
    <font>
      <b/>
      <sz val="12"/>
      <color theme="1"/>
      <name val="Arial"/>
      <family val="2"/>
    </font>
    <font>
      <b/>
      <sz val="16"/>
      <color theme="1"/>
      <name val="Arial"/>
      <family val="2"/>
    </font>
    <font>
      <b/>
      <sz val="11"/>
      <color rgb="FFFFC000"/>
      <name val="Arial"/>
      <family val="2"/>
    </font>
  </fonts>
  <fills count="1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theme="1"/>
        <bgColor indexed="64"/>
      </patternFill>
    </fill>
    <fill>
      <patternFill patternType="solid">
        <fgColor theme="0"/>
        <bgColor indexed="24"/>
      </patternFill>
    </fill>
    <fill>
      <patternFill patternType="solid">
        <fgColor theme="0" tint="-0.249977111117893"/>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84">
    <xf numFmtId="0" fontId="0" fillId="0" borderId="0" xfId="0"/>
    <xf numFmtId="0" fontId="3" fillId="0" borderId="0" xfId="0" applyFont="1" applyAlignment="1">
      <alignment horizontal="center"/>
    </xf>
    <xf numFmtId="0" fontId="0" fillId="0" borderId="1" xfId="0" applyBorder="1"/>
    <xf numFmtId="0" fontId="0" fillId="0" borderId="2" xfId="0" applyBorder="1"/>
    <xf numFmtId="169" fontId="0" fillId="0" borderId="0" xfId="0" applyNumberFormat="1"/>
    <xf numFmtId="166" fontId="0" fillId="0" borderId="1" xfId="2" applyNumberFormat="1" applyFont="1" applyBorder="1"/>
    <xf numFmtId="166" fontId="0" fillId="0" borderId="2" xfId="2" applyNumberFormat="1" applyFont="1" applyBorder="1"/>
    <xf numFmtId="166" fontId="0" fillId="0" borderId="3" xfId="2" applyNumberFormat="1" applyFont="1" applyBorder="1"/>
    <xf numFmtId="167" fontId="0" fillId="0" borderId="0" xfId="2" applyNumberFormat="1" applyFont="1"/>
    <xf numFmtId="166" fontId="0" fillId="0" borderId="0" xfId="2" applyFont="1"/>
    <xf numFmtId="170" fontId="0" fillId="0" borderId="0" xfId="4" applyNumberFormat="1" applyFont="1"/>
    <xf numFmtId="166" fontId="0" fillId="0" borderId="0" xfId="0" applyNumberFormat="1"/>
    <xf numFmtId="171" fontId="0" fillId="0" borderId="0" xfId="5" applyNumberFormat="1" applyFont="1"/>
    <xf numFmtId="0" fontId="0" fillId="0" borderId="0" xfId="0" applyFill="1" applyAlignment="1">
      <alignment horizontal="right"/>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1" fillId="0" borderId="0" xfId="0" applyFont="1" applyAlignment="1">
      <alignment horizontal="left"/>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9" fontId="4" fillId="3" borderId="7" xfId="0" applyNumberFormat="1"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9" fontId="4" fillId="3" borderId="9"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9" fontId="4" fillId="3" borderId="5" xfId="0" applyNumberFormat="1" applyFont="1" applyFill="1" applyBorder="1" applyAlignment="1">
      <alignment horizontal="center" vertical="top" wrapText="1"/>
    </xf>
    <xf numFmtId="0" fontId="12" fillId="0" borderId="0" xfId="0" applyFont="1" applyFill="1" applyBorder="1" applyAlignment="1">
      <alignment horizontal="center"/>
    </xf>
    <xf numFmtId="0" fontId="0" fillId="0" borderId="10" xfId="0" applyBorder="1"/>
    <xf numFmtId="0" fontId="0" fillId="0" borderId="11" xfId="0" applyBorder="1"/>
    <xf numFmtId="166" fontId="13" fillId="3" borderId="12" xfId="2" applyFont="1" applyFill="1" applyBorder="1" applyAlignment="1">
      <alignment horizontal="center" vertical="top" wrapText="1"/>
    </xf>
    <xf numFmtId="170" fontId="16" fillId="0" borderId="0" xfId="4" applyNumberFormat="1" applyFont="1"/>
    <xf numFmtId="0" fontId="0" fillId="6" borderId="0" xfId="0" applyFill="1"/>
    <xf numFmtId="0" fontId="17" fillId="6" borderId="0" xfId="0" applyFont="1" applyFill="1"/>
    <xf numFmtId="0" fontId="18" fillId="6" borderId="0" xfId="0" applyFont="1" applyFill="1"/>
    <xf numFmtId="0" fontId="15" fillId="6" borderId="0" xfId="0" applyFont="1" applyFill="1"/>
    <xf numFmtId="0" fontId="19" fillId="6" borderId="0" xfId="0" applyFont="1" applyFill="1" applyAlignment="1">
      <alignment horizontal="justify"/>
    </xf>
    <xf numFmtId="0" fontId="44" fillId="6" borderId="0" xfId="0" applyFont="1" applyFill="1" applyAlignment="1">
      <alignment horizontal="justify"/>
    </xf>
    <xf numFmtId="0" fontId="18" fillId="6" borderId="0" xfId="0" applyFont="1" applyFill="1" applyAlignment="1">
      <alignment horizontal="justify"/>
    </xf>
    <xf numFmtId="0" fontId="11" fillId="6" borderId="0" xfId="0" applyFont="1" applyFill="1" applyAlignment="1">
      <alignment horizontal="justify"/>
    </xf>
    <xf numFmtId="0" fontId="0" fillId="0" borderId="0" xfId="0" applyBorder="1"/>
    <xf numFmtId="0" fontId="0" fillId="6" borderId="0" xfId="0" applyFill="1" applyBorder="1"/>
    <xf numFmtId="0" fontId="45" fillId="7" borderId="0" xfId="0" applyFont="1" applyFill="1" applyAlignment="1">
      <alignment horizontal="center"/>
    </xf>
    <xf numFmtId="0" fontId="5" fillId="0" borderId="0" xfId="0" applyFont="1"/>
    <xf numFmtId="0" fontId="3" fillId="0" borderId="0" xfId="0" applyFont="1"/>
    <xf numFmtId="166" fontId="3" fillId="0" borderId="0" xfId="2" applyFont="1"/>
    <xf numFmtId="10" fontId="22" fillId="8" borderId="0" xfId="5" applyNumberFormat="1" applyFont="1" applyFill="1" applyBorder="1" applyAlignment="1" applyProtection="1">
      <protection locked="0"/>
    </xf>
    <xf numFmtId="172" fontId="22" fillId="8" borderId="0" xfId="0" applyNumberFormat="1" applyFont="1" applyFill="1" applyBorder="1" applyAlignment="1" applyProtection="1">
      <protection locked="0"/>
    </xf>
    <xf numFmtId="10" fontId="46" fillId="8" borderId="0" xfId="1" applyNumberFormat="1" applyFont="1" applyFill="1" applyBorder="1" applyAlignment="1" applyProtection="1">
      <protection locked="0"/>
    </xf>
    <xf numFmtId="168" fontId="5" fillId="0" borderId="0" xfId="2" applyNumberFormat="1" applyFont="1"/>
    <xf numFmtId="168" fontId="47" fillId="0" borderId="0" xfId="2" applyNumberFormat="1" applyFont="1"/>
    <xf numFmtId="168" fontId="23" fillId="2" borderId="0" xfId="2" applyNumberFormat="1" applyFont="1" applyFill="1" applyAlignment="1">
      <alignment horizontal="left"/>
    </xf>
    <xf numFmtId="168" fontId="48" fillId="0" borderId="0" xfId="2" applyNumberFormat="1" applyFont="1"/>
    <xf numFmtId="168" fontId="49" fillId="6" borderId="0" xfId="2" applyNumberFormat="1" applyFont="1" applyFill="1" applyBorder="1" applyAlignment="1">
      <alignment horizontal="center" vertical="center"/>
    </xf>
    <xf numFmtId="168" fontId="48" fillId="6" borderId="0" xfId="2" applyNumberFormat="1" applyFont="1" applyFill="1" applyBorder="1" applyProtection="1">
      <protection locked="0"/>
    </xf>
    <xf numFmtId="168" fontId="5" fillId="0" borderId="3" xfId="2" applyNumberFormat="1" applyFont="1" applyBorder="1" applyAlignment="1" applyProtection="1">
      <alignment horizontal="center"/>
      <protection locked="0"/>
    </xf>
    <xf numFmtId="168" fontId="10" fillId="0" borderId="0" xfId="2" applyNumberFormat="1" applyFont="1" applyFill="1"/>
    <xf numFmtId="168" fontId="47" fillId="0" borderId="0" xfId="2" applyNumberFormat="1" applyFont="1" applyFill="1"/>
    <xf numFmtId="14" fontId="5" fillId="0" borderId="0" xfId="0" applyNumberFormat="1" applyFont="1"/>
    <xf numFmtId="168" fontId="5" fillId="0" borderId="9" xfId="2" applyNumberFormat="1" applyFont="1" applyBorder="1" applyAlignment="1" applyProtection="1">
      <alignment horizontal="center"/>
      <protection locked="0"/>
    </xf>
    <xf numFmtId="168" fontId="5" fillId="0" borderId="9" xfId="2" applyNumberFormat="1" applyFont="1" applyBorder="1" applyProtection="1">
      <protection locked="0"/>
    </xf>
    <xf numFmtId="0" fontId="50" fillId="0" borderId="0" xfId="0" applyFont="1" applyProtection="1">
      <protection hidden="1"/>
    </xf>
    <xf numFmtId="168" fontId="3" fillId="0" borderId="0" xfId="2" applyNumberFormat="1" applyFont="1" applyAlignment="1">
      <alignment horizontal="center"/>
    </xf>
    <xf numFmtId="168" fontId="51" fillId="0" borderId="0" xfId="2" applyNumberFormat="1" applyFont="1" applyAlignment="1">
      <alignment horizontal="center"/>
    </xf>
    <xf numFmtId="0" fontId="28" fillId="2" borderId="3" xfId="0" applyFont="1" applyFill="1" applyBorder="1" applyAlignment="1">
      <alignment horizontal="center" vertical="center"/>
    </xf>
    <xf numFmtId="0" fontId="12" fillId="0" borderId="0" xfId="0" applyFont="1" applyFill="1" applyAlignment="1">
      <alignment horizontal="center"/>
    </xf>
    <xf numFmtId="0" fontId="5" fillId="4" borderId="9" xfId="0" applyFont="1" applyFill="1" applyBorder="1"/>
    <xf numFmtId="168" fontId="5" fillId="4" borderId="9" xfId="2" applyNumberFormat="1" applyFont="1" applyFill="1" applyBorder="1"/>
    <xf numFmtId="0" fontId="5" fillId="0" borderId="0" xfId="0" applyFont="1" applyAlignment="1">
      <alignment horizontal="center" vertical="center"/>
    </xf>
    <xf numFmtId="0" fontId="3" fillId="4" borderId="9" xfId="0" applyFont="1" applyFill="1" applyBorder="1" applyAlignment="1">
      <alignment horizontal="left"/>
    </xf>
    <xf numFmtId="168" fontId="3" fillId="4" borderId="9" xfId="2" applyNumberFormat="1" applyFont="1" applyFill="1" applyBorder="1"/>
    <xf numFmtId="168" fontId="30" fillId="4" borderId="9" xfId="2" applyNumberFormat="1" applyFont="1" applyFill="1" applyBorder="1" applyAlignment="1">
      <alignment horizontal="center"/>
    </xf>
    <xf numFmtId="168" fontId="53" fillId="4" borderId="9" xfId="2" applyNumberFormat="1" applyFont="1" applyFill="1" applyBorder="1" applyAlignment="1">
      <alignment horizontal="center"/>
    </xf>
    <xf numFmtId="168" fontId="29" fillId="0" borderId="0" xfId="2" applyNumberFormat="1" applyFont="1" applyAlignment="1">
      <alignment horizontal="center"/>
    </xf>
    <xf numFmtId="168" fontId="52" fillId="0" borderId="0" xfId="2" applyNumberFormat="1" applyFont="1" applyAlignment="1">
      <alignment horizontal="center"/>
    </xf>
    <xf numFmtId="0" fontId="7" fillId="2" borderId="17" xfId="0" applyFont="1" applyFill="1" applyBorder="1" applyAlignment="1">
      <alignment horizontal="left"/>
    </xf>
    <xf numFmtId="0" fontId="7" fillId="2" borderId="18" xfId="0" applyFont="1" applyFill="1" applyBorder="1" applyAlignment="1">
      <alignment horizontal="left"/>
    </xf>
    <xf numFmtId="0" fontId="7" fillId="2" borderId="19" xfId="0" applyFont="1" applyFill="1" applyBorder="1" applyAlignment="1">
      <alignment horizontal="left"/>
    </xf>
    <xf numFmtId="0" fontId="51" fillId="2" borderId="19" xfId="0" applyFont="1" applyFill="1" applyBorder="1" applyAlignment="1">
      <alignment horizontal="left"/>
    </xf>
    <xf numFmtId="168" fontId="7" fillId="2" borderId="9" xfId="2" applyNumberFormat="1" applyFont="1" applyFill="1" applyBorder="1"/>
    <xf numFmtId="0" fontId="5" fillId="0" borderId="0" xfId="0" applyFont="1" applyFill="1" applyAlignment="1">
      <alignment horizontal="center" vertical="center"/>
    </xf>
    <xf numFmtId="0" fontId="5" fillId="0" borderId="0" xfId="0" applyFont="1" applyFill="1"/>
    <xf numFmtId="0" fontId="3" fillId="0" borderId="0" xfId="0" applyFont="1" applyFill="1" applyBorder="1" applyAlignment="1">
      <alignment horizontal="left"/>
    </xf>
    <xf numFmtId="0" fontId="51" fillId="0" borderId="0" xfId="0" applyFont="1" applyFill="1" applyBorder="1" applyAlignment="1">
      <alignment horizontal="left"/>
    </xf>
    <xf numFmtId="168" fontId="3" fillId="0" borderId="0" xfId="2" applyNumberFormat="1" applyFont="1" applyFill="1" applyBorder="1"/>
    <xf numFmtId="168" fontId="5" fillId="0" borderId="0" xfId="2" applyNumberFormat="1" applyFont="1" applyFill="1"/>
    <xf numFmtId="0" fontId="31" fillId="0" borderId="0" xfId="0" applyFont="1"/>
    <xf numFmtId="0" fontId="28" fillId="0" borderId="0" xfId="0" applyFont="1" applyFill="1" applyBorder="1" applyAlignment="1">
      <alignment horizontal="center" vertical="center"/>
    </xf>
    <xf numFmtId="168" fontId="5" fillId="9" borderId="9" xfId="2" applyNumberFormat="1" applyFont="1" applyFill="1" applyBorder="1" applyProtection="1"/>
    <xf numFmtId="168" fontId="54" fillId="0" borderId="21" xfId="2" applyNumberFormat="1" applyFont="1" applyBorder="1" applyAlignment="1">
      <alignment horizontal="center" vertical="center" wrapText="1"/>
    </xf>
    <xf numFmtId="166" fontId="5" fillId="0" borderId="0" xfId="2" applyNumberFormat="1" applyFont="1"/>
    <xf numFmtId="168" fontId="5" fillId="4" borderId="9" xfId="2" applyNumberFormat="1" applyFont="1" applyFill="1" applyBorder="1" applyAlignment="1">
      <alignment horizontal="center" vertical="center"/>
    </xf>
    <xf numFmtId="166" fontId="5" fillId="0" borderId="0" xfId="2" applyFont="1"/>
    <xf numFmtId="0" fontId="3" fillId="4" borderId="9" xfId="0" applyFont="1" applyFill="1" applyBorder="1"/>
    <xf numFmtId="168" fontId="8" fillId="0" borderId="0" xfId="2" applyNumberFormat="1" applyFont="1"/>
    <xf numFmtId="0" fontId="51" fillId="2" borderId="18" xfId="0" applyFont="1" applyFill="1" applyBorder="1" applyAlignment="1">
      <alignment horizontal="left"/>
    </xf>
    <xf numFmtId="168" fontId="7" fillId="2" borderId="19" xfId="2" applyNumberFormat="1" applyFont="1" applyFill="1" applyBorder="1"/>
    <xf numFmtId="0" fontId="7" fillId="2" borderId="0" xfId="0" applyFont="1" applyFill="1" applyBorder="1" applyAlignment="1">
      <alignment horizontal="left"/>
    </xf>
    <xf numFmtId="0" fontId="51" fillId="2" borderId="0" xfId="0" applyFont="1" applyFill="1" applyBorder="1" applyAlignment="1">
      <alignment horizontal="left"/>
    </xf>
    <xf numFmtId="0" fontId="55" fillId="2" borderId="17" xfId="0" applyFont="1" applyFill="1" applyBorder="1" applyAlignment="1">
      <alignment horizontal="left"/>
    </xf>
    <xf numFmtId="0" fontId="27" fillId="2" borderId="19" xfId="0" applyFont="1" applyFill="1" applyBorder="1" applyAlignment="1">
      <alignment horizontal="left"/>
    </xf>
    <xf numFmtId="168" fontId="10" fillId="2" borderId="9" xfId="2" applyNumberFormat="1" applyFont="1" applyFill="1" applyBorder="1" applyAlignment="1">
      <alignment horizontal="center"/>
    </xf>
    <xf numFmtId="168" fontId="56" fillId="2" borderId="9" xfId="2" applyNumberFormat="1" applyFont="1" applyFill="1" applyBorder="1" applyAlignment="1">
      <alignment horizontal="center"/>
    </xf>
    <xf numFmtId="168" fontId="27" fillId="2" borderId="9" xfId="2" applyNumberFormat="1" applyFont="1" applyFill="1" applyBorder="1"/>
    <xf numFmtId="168" fontId="7" fillId="2" borderId="9" xfId="2" applyNumberFormat="1" applyFont="1" applyFill="1" applyBorder="1" applyProtection="1">
      <protection hidden="1"/>
    </xf>
    <xf numFmtId="167" fontId="5" fillId="0" borderId="0" xfId="2" applyNumberFormat="1" applyFont="1"/>
    <xf numFmtId="167" fontId="5" fillId="0" borderId="0" xfId="2" applyNumberFormat="1" applyFont="1" applyFill="1"/>
    <xf numFmtId="0" fontId="32" fillId="2" borderId="22" xfId="0" applyFont="1" applyFill="1" applyBorder="1" applyAlignment="1">
      <alignment horizontal="left"/>
    </xf>
    <xf numFmtId="168" fontId="33" fillId="0" borderId="0" xfId="2" applyNumberFormat="1" applyFont="1" applyFill="1" applyBorder="1"/>
    <xf numFmtId="168" fontId="50" fillId="0" borderId="0" xfId="2" applyNumberFormat="1" applyFont="1" applyFill="1" applyBorder="1"/>
    <xf numFmtId="170" fontId="34" fillId="2" borderId="9" xfId="4" applyNumberFormat="1" applyFont="1" applyFill="1" applyBorder="1"/>
    <xf numFmtId="0" fontId="32" fillId="2" borderId="19" xfId="0" applyFont="1" applyFill="1" applyBorder="1" applyAlignment="1">
      <alignment horizontal="left"/>
    </xf>
    <xf numFmtId="14" fontId="47" fillId="0" borderId="0" xfId="0" applyNumberFormat="1" applyFont="1" applyProtection="1">
      <protection hidden="1"/>
    </xf>
    <xf numFmtId="0" fontId="32" fillId="2" borderId="23" xfId="0" applyFont="1" applyFill="1" applyBorder="1" applyAlignment="1">
      <alignment horizontal="left"/>
    </xf>
    <xf numFmtId="0" fontId="35" fillId="0" borderId="0" xfId="0" applyFont="1" applyProtection="1">
      <protection hidden="1"/>
    </xf>
    <xf numFmtId="0" fontId="32" fillId="0" borderId="0" xfId="0" applyFont="1" applyFill="1" applyBorder="1" applyAlignment="1">
      <alignment horizontal="left"/>
    </xf>
    <xf numFmtId="170" fontId="34" fillId="0" borderId="0" xfId="4" applyNumberFormat="1" applyFont="1" applyFill="1" applyBorder="1"/>
    <xf numFmtId="0" fontId="47" fillId="0" borderId="0" xfId="0" applyFont="1"/>
    <xf numFmtId="0" fontId="8" fillId="0" borderId="0" xfId="0" applyFont="1"/>
    <xf numFmtId="0" fontId="48" fillId="0" borderId="0" xfId="0" applyFont="1"/>
    <xf numFmtId="0" fontId="51" fillId="0" borderId="0" xfId="0" applyFont="1"/>
    <xf numFmtId="0" fontId="5" fillId="9" borderId="9" xfId="0" applyFont="1" applyFill="1" applyBorder="1"/>
    <xf numFmtId="0" fontId="55" fillId="2" borderId="24" xfId="0" applyFont="1" applyFill="1" applyBorder="1" applyAlignment="1">
      <alignment horizontal="left"/>
    </xf>
    <xf numFmtId="0" fontId="55" fillId="2" borderId="25" xfId="0" applyFont="1" applyFill="1" applyBorder="1" applyAlignment="1">
      <alignment horizontal="left"/>
    </xf>
    <xf numFmtId="0" fontId="51" fillId="0" borderId="0" xfId="0" applyFont="1" applyAlignment="1">
      <alignment horizontal="left"/>
    </xf>
    <xf numFmtId="0" fontId="5" fillId="0" borderId="0" xfId="0" applyFont="1" applyFill="1" applyProtection="1"/>
    <xf numFmtId="168" fontId="5" fillId="0" borderId="0" xfId="2" applyNumberFormat="1" applyFont="1" applyFill="1" applyProtection="1"/>
    <xf numFmtId="168" fontId="12" fillId="0" borderId="0" xfId="2" applyNumberFormat="1" applyFont="1" applyFill="1" applyAlignment="1" applyProtection="1">
      <alignment horizontal="left"/>
    </xf>
    <xf numFmtId="168" fontId="36" fillId="0" borderId="0" xfId="2" applyNumberFormat="1" applyFont="1" applyFill="1" applyAlignment="1" applyProtection="1">
      <alignment horizontal="left"/>
    </xf>
    <xf numFmtId="168" fontId="37" fillId="0" borderId="0" xfId="2" applyNumberFormat="1" applyFont="1" applyFill="1" applyAlignment="1" applyProtection="1">
      <alignment horizontal="right"/>
    </xf>
    <xf numFmtId="0" fontId="5" fillId="0" borderId="0" xfId="0" applyFont="1" applyFill="1" applyAlignment="1" applyProtection="1">
      <alignment horizontal="left"/>
    </xf>
    <xf numFmtId="0" fontId="36" fillId="0" borderId="0" xfId="0" applyFont="1" applyFill="1" applyProtection="1"/>
    <xf numFmtId="0" fontId="12" fillId="0" borderId="0" xfId="0" applyFont="1" applyFill="1" applyProtection="1"/>
    <xf numFmtId="168" fontId="38" fillId="0" borderId="0" xfId="2" applyNumberFormat="1" applyFont="1" applyFill="1" applyBorder="1" applyAlignment="1" applyProtection="1">
      <alignment horizontal="center" vertical="center"/>
    </xf>
    <xf numFmtId="168" fontId="5" fillId="0" borderId="0" xfId="2" applyNumberFormat="1" applyFont="1" applyFill="1" applyBorder="1" applyProtection="1"/>
    <xf numFmtId="0" fontId="3" fillId="0" borderId="9" xfId="0" applyFont="1" applyFill="1" applyBorder="1" applyAlignment="1" applyProtection="1">
      <alignment horizontal="center"/>
    </xf>
    <xf numFmtId="168" fontId="3" fillId="0" borderId="9" xfId="2" applyNumberFormat="1" applyFont="1" applyFill="1" applyBorder="1" applyAlignment="1" applyProtection="1">
      <alignment horizontal="center"/>
    </xf>
    <xf numFmtId="168" fontId="5" fillId="0" borderId="9" xfId="2" applyNumberFormat="1" applyFont="1" applyFill="1" applyBorder="1" applyAlignment="1" applyProtection="1">
      <alignment horizontal="center"/>
    </xf>
    <xf numFmtId="168" fontId="3" fillId="0" borderId="19" xfId="2" applyNumberFormat="1" applyFont="1" applyFill="1" applyBorder="1" applyAlignment="1" applyProtection="1">
      <alignment horizontal="center"/>
    </xf>
    <xf numFmtId="0" fontId="5" fillId="0" borderId="0" xfId="0" applyFont="1" applyFill="1" applyAlignment="1" applyProtection="1">
      <alignment horizontal="center"/>
    </xf>
    <xf numFmtId="168" fontId="3" fillId="0" borderId="9" xfId="2" applyNumberFormat="1" applyFont="1" applyFill="1" applyBorder="1" applyAlignment="1" applyProtection="1">
      <alignment horizontal="left" vertical="center"/>
    </xf>
    <xf numFmtId="0" fontId="33" fillId="0" borderId="0" xfId="0" applyFont="1" applyFill="1" applyProtection="1"/>
    <xf numFmtId="0" fontId="12" fillId="0" borderId="3" xfId="0" applyFont="1" applyFill="1" applyBorder="1" applyAlignment="1" applyProtection="1">
      <alignment horizontal="center" vertical="center"/>
    </xf>
    <xf numFmtId="0" fontId="12" fillId="0" borderId="0" xfId="0" applyFont="1" applyFill="1" applyAlignment="1" applyProtection="1">
      <alignment horizontal="center"/>
    </xf>
    <xf numFmtId="0" fontId="3" fillId="0" borderId="0" xfId="0" applyFont="1" applyFill="1" applyAlignment="1" applyProtection="1">
      <alignment horizontal="left"/>
    </xf>
    <xf numFmtId="0" fontId="5" fillId="0" borderId="9" xfId="0" applyFont="1" applyFill="1" applyBorder="1" applyProtection="1"/>
    <xf numFmtId="168" fontId="5" fillId="0" borderId="9" xfId="2" applyNumberFormat="1" applyFont="1" applyFill="1" applyBorder="1" applyProtection="1"/>
    <xf numFmtId="0" fontId="5" fillId="0" borderId="0" xfId="0" applyFont="1" applyFill="1" applyAlignment="1" applyProtection="1">
      <alignment horizontal="center" vertical="center"/>
    </xf>
    <xf numFmtId="0" fontId="3" fillId="0" borderId="9" xfId="0" applyFont="1" applyFill="1" applyBorder="1" applyProtection="1"/>
    <xf numFmtId="168" fontId="3" fillId="0" borderId="9" xfId="2" applyNumberFormat="1" applyFont="1" applyFill="1" applyBorder="1" applyProtection="1"/>
    <xf numFmtId="0" fontId="3" fillId="0" borderId="17"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0" xfId="0" applyFont="1" applyFill="1" applyBorder="1" applyAlignment="1" applyProtection="1">
      <alignment horizontal="left"/>
    </xf>
    <xf numFmtId="168" fontId="3" fillId="0" borderId="0" xfId="2" applyNumberFormat="1" applyFont="1" applyFill="1" applyBorder="1" applyProtection="1"/>
    <xf numFmtId="0" fontId="3" fillId="0" borderId="0" xfId="0" applyFont="1" applyFill="1" applyProtection="1"/>
    <xf numFmtId="0" fontId="12" fillId="0" borderId="0" xfId="0" applyFont="1" applyFill="1" applyBorder="1" applyAlignment="1" applyProtection="1">
      <alignment horizontal="center" vertical="center"/>
    </xf>
    <xf numFmtId="168" fontId="3" fillId="0" borderId="9" xfId="2" applyNumberFormat="1" applyFont="1" applyFill="1" applyBorder="1" applyAlignment="1" applyProtection="1">
      <alignment horizontal="center" vertical="center"/>
    </xf>
    <xf numFmtId="0" fontId="3" fillId="0" borderId="19" xfId="0" applyFont="1" applyFill="1" applyBorder="1" applyAlignment="1" applyProtection="1">
      <alignment horizontal="left"/>
    </xf>
    <xf numFmtId="0" fontId="39" fillId="0" borderId="9" xfId="0" applyFont="1" applyFill="1" applyBorder="1" applyAlignment="1" applyProtection="1">
      <alignment horizontal="left"/>
    </xf>
    <xf numFmtId="170" fontId="3" fillId="0" borderId="9" xfId="4" applyNumberFormat="1" applyFont="1" applyFill="1" applyBorder="1" applyProtection="1"/>
    <xf numFmtId="0" fontId="40" fillId="0" borderId="0" xfId="0" applyFont="1" applyFill="1" applyProtection="1"/>
    <xf numFmtId="0" fontId="3" fillId="0" borderId="9" xfId="0" applyFont="1" applyFill="1" applyBorder="1" applyAlignment="1" applyProtection="1">
      <alignment horizontal="left"/>
    </xf>
    <xf numFmtId="10" fontId="34" fillId="2" borderId="9" xfId="5" applyNumberFormat="1" applyFont="1" applyFill="1" applyBorder="1"/>
    <xf numFmtId="10" fontId="3" fillId="0" borderId="0" xfId="5" applyNumberFormat="1" applyFont="1" applyFill="1" applyProtection="1"/>
    <xf numFmtId="166" fontId="3" fillId="0" borderId="0" xfId="0" applyNumberFormat="1" applyFont="1"/>
    <xf numFmtId="0" fontId="39" fillId="0" borderId="0" xfId="0" applyFont="1" applyFill="1" applyBorder="1" applyAlignment="1" applyProtection="1">
      <alignment horizontal="left"/>
    </xf>
    <xf numFmtId="170" fontId="3" fillId="0" borderId="0" xfId="4" applyNumberFormat="1" applyFont="1" applyFill="1" applyBorder="1" applyProtection="1"/>
    <xf numFmtId="0" fontId="39" fillId="0" borderId="17" xfId="0" applyFont="1" applyFill="1" applyBorder="1" applyAlignment="1" applyProtection="1">
      <alignment horizontal="center"/>
    </xf>
    <xf numFmtId="168" fontId="39" fillId="0" borderId="19" xfId="2" applyNumberFormat="1" applyFont="1" applyFill="1" applyBorder="1" applyAlignment="1" applyProtection="1">
      <alignment horizontal="center"/>
    </xf>
    <xf numFmtId="168" fontId="39" fillId="0" borderId="9" xfId="2" applyNumberFormat="1" applyFont="1" applyFill="1" applyBorder="1" applyAlignment="1" applyProtection="1">
      <alignment horizontal="center"/>
    </xf>
    <xf numFmtId="0" fontId="5" fillId="4" borderId="9" xfId="0" applyFont="1" applyFill="1" applyBorder="1" applyAlignment="1">
      <alignment wrapText="1"/>
    </xf>
    <xf numFmtId="166" fontId="39" fillId="0" borderId="0" xfId="2" applyFont="1" applyFill="1" applyProtection="1">
      <protection hidden="1"/>
    </xf>
    <xf numFmtId="0" fontId="4" fillId="0" borderId="9" xfId="0" applyFont="1" applyBorder="1" applyAlignment="1" applyProtection="1">
      <alignment horizontal="center"/>
      <protection locked="0"/>
    </xf>
    <xf numFmtId="0" fontId="39" fillId="0" borderId="9" xfId="0" applyFont="1" applyBorder="1" applyAlignment="1" applyProtection="1">
      <alignment horizontal="center"/>
      <protection locked="0"/>
    </xf>
    <xf numFmtId="0" fontId="4" fillId="0" borderId="9" xfId="0" applyFont="1" applyFill="1" applyBorder="1" applyAlignment="1" applyProtection="1">
      <alignment horizontal="center"/>
    </xf>
    <xf numFmtId="0" fontId="9" fillId="0" borderId="0" xfId="1" applyAlignment="1" applyProtection="1"/>
    <xf numFmtId="0" fontId="9" fillId="6" borderId="0" xfId="1" applyFill="1" applyBorder="1" applyAlignment="1" applyProtection="1">
      <alignment horizontal="justify"/>
    </xf>
    <xf numFmtId="168" fontId="2" fillId="0" borderId="0" xfId="2" applyNumberFormat="1" applyFont="1" applyBorder="1"/>
    <xf numFmtId="168" fontId="54" fillId="0" borderId="0" xfId="2" applyNumberFormat="1" applyFont="1" applyBorder="1"/>
    <xf numFmtId="0" fontId="3" fillId="0" borderId="0" xfId="0" applyFont="1" applyFill="1" applyBorder="1" applyProtection="1"/>
    <xf numFmtId="0" fontId="57" fillId="10" borderId="45" xfId="0" applyFont="1" applyFill="1" applyBorder="1" applyAlignment="1">
      <alignment horizontal="left" vertical="top" wrapText="1"/>
    </xf>
    <xf numFmtId="167" fontId="0" fillId="0" borderId="0" xfId="0" applyNumberFormat="1"/>
    <xf numFmtId="164" fontId="0" fillId="0" borderId="0" xfId="3" applyFont="1"/>
    <xf numFmtId="9" fontId="0" fillId="0" borderId="0" xfId="0" applyNumberFormat="1"/>
    <xf numFmtId="173" fontId="0" fillId="0" borderId="0" xfId="3" applyNumberFormat="1" applyFont="1"/>
    <xf numFmtId="174" fontId="0" fillId="0" borderId="0" xfId="0" applyNumberFormat="1"/>
    <xf numFmtId="0" fontId="5" fillId="11" borderId="0" xfId="0" applyFont="1" applyFill="1"/>
    <xf numFmtId="168" fontId="5" fillId="11" borderId="0" xfId="2" applyNumberFormat="1" applyFont="1" applyFill="1"/>
    <xf numFmtId="168" fontId="47" fillId="11" borderId="0" xfId="2" applyNumberFormat="1" applyFont="1" applyFill="1"/>
    <xf numFmtId="168" fontId="23" fillId="11" borderId="0" xfId="2" applyNumberFormat="1" applyFont="1" applyFill="1" applyAlignment="1">
      <alignment horizontal="left"/>
    </xf>
    <xf numFmtId="168" fontId="4" fillId="11" borderId="0" xfId="2" applyNumberFormat="1" applyFont="1" applyFill="1" applyAlignment="1">
      <alignment horizontal="center"/>
    </xf>
    <xf numFmtId="168" fontId="7" fillId="11" borderId="26" xfId="2" applyNumberFormat="1" applyFont="1" applyFill="1" applyBorder="1" applyAlignment="1" applyProtection="1">
      <alignment horizontal="center"/>
    </xf>
    <xf numFmtId="168" fontId="27" fillId="11" borderId="19" xfId="2" applyNumberFormat="1" applyFont="1" applyFill="1" applyBorder="1" applyAlignment="1">
      <alignment horizontal="center"/>
    </xf>
    <xf numFmtId="168" fontId="7" fillId="11" borderId="9" xfId="2" applyNumberFormat="1" applyFont="1" applyFill="1" applyBorder="1" applyAlignment="1" applyProtection="1">
      <alignment horizontal="left" vertical="center"/>
    </xf>
    <xf numFmtId="168" fontId="27" fillId="11" borderId="9" xfId="2" applyNumberFormat="1" applyFont="1" applyFill="1" applyBorder="1" applyAlignment="1">
      <alignment horizontal="center"/>
    </xf>
    <xf numFmtId="0" fontId="6" fillId="2" borderId="27" xfId="0" applyFont="1" applyFill="1" applyBorder="1" applyAlignment="1">
      <alignment horizontal="center" vertical="top" wrapText="1"/>
    </xf>
    <xf numFmtId="0" fontId="6" fillId="2" borderId="20" xfId="0" applyFont="1" applyFill="1" applyBorder="1" applyAlignment="1">
      <alignment horizontal="center" vertical="top" wrapText="1"/>
    </xf>
    <xf numFmtId="166" fontId="43" fillId="12" borderId="28" xfId="2" applyNumberFormat="1" applyFont="1" applyFill="1" applyBorder="1"/>
    <xf numFmtId="166" fontId="13" fillId="3" borderId="9" xfId="2" applyFont="1" applyFill="1" applyBorder="1" applyAlignment="1">
      <alignment horizontal="center" vertical="top" wrapText="1"/>
    </xf>
    <xf numFmtId="0" fontId="0" fillId="0" borderId="9" xfId="0" applyBorder="1"/>
    <xf numFmtId="166" fontId="0" fillId="0" borderId="9" xfId="2" applyNumberFormat="1" applyFont="1" applyBorder="1"/>
    <xf numFmtId="168" fontId="54" fillId="0" borderId="29" xfId="2" applyNumberFormat="1" applyFont="1" applyBorder="1" applyAlignment="1">
      <alignment horizontal="center" vertical="center" wrapText="1"/>
    </xf>
    <xf numFmtId="0" fontId="5" fillId="0" borderId="30" xfId="0" applyFont="1" applyBorder="1" applyAlignment="1">
      <alignment horizontal="center" vertical="center"/>
    </xf>
    <xf numFmtId="168" fontId="3" fillId="0" borderId="30" xfId="2" applyNumberFormat="1" applyFont="1" applyFill="1" applyBorder="1" applyProtection="1"/>
    <xf numFmtId="168" fontId="30" fillId="4" borderId="17" xfId="2" applyNumberFormat="1" applyFont="1" applyFill="1" applyBorder="1" applyAlignment="1">
      <alignment horizontal="center"/>
    </xf>
    <xf numFmtId="168" fontId="53" fillId="4" borderId="18" xfId="2" applyNumberFormat="1" applyFont="1" applyFill="1" applyBorder="1" applyAlignment="1">
      <alignment horizontal="center"/>
    </xf>
    <xf numFmtId="0" fontId="59" fillId="0" borderId="0" xfId="0" applyFont="1" applyAlignment="1">
      <alignment vertical="center" readingOrder="2"/>
    </xf>
    <xf numFmtId="0" fontId="47" fillId="6" borderId="0" xfId="0" applyFont="1" applyFill="1" applyProtection="1">
      <protection hidden="1"/>
    </xf>
    <xf numFmtId="0" fontId="48" fillId="0" borderId="0" xfId="0" applyFont="1" applyFill="1"/>
    <xf numFmtId="0" fontId="47" fillId="0" borderId="0" xfId="0" applyFont="1" applyFill="1"/>
    <xf numFmtId="0" fontId="59" fillId="0" borderId="0" xfId="1" applyFont="1" applyAlignment="1" applyProtection="1">
      <alignment vertical="center" readingOrder="2"/>
    </xf>
    <xf numFmtId="0" fontId="5" fillId="0" borderId="9" xfId="0" applyFont="1" applyFill="1" applyBorder="1" applyAlignment="1" applyProtection="1">
      <alignment horizontal="center"/>
      <protection locked="0"/>
    </xf>
    <xf numFmtId="0" fontId="62" fillId="14" borderId="0" xfId="0" applyFont="1" applyFill="1"/>
    <xf numFmtId="0" fontId="63" fillId="14" borderId="0" xfId="0" applyFont="1" applyFill="1"/>
    <xf numFmtId="0" fontId="5" fillId="14" borderId="0" xfId="0" applyFont="1" applyFill="1"/>
    <xf numFmtId="168" fontId="5" fillId="14" borderId="0" xfId="2" applyNumberFormat="1" applyFont="1" applyFill="1"/>
    <xf numFmtId="168" fontId="47" fillId="14" borderId="0" xfId="2" applyNumberFormat="1" applyFont="1" applyFill="1"/>
    <xf numFmtId="168" fontId="23" fillId="14" borderId="0" xfId="2" applyNumberFormat="1" applyFont="1" applyFill="1" applyAlignment="1">
      <alignment horizontal="left"/>
    </xf>
    <xf numFmtId="168" fontId="24" fillId="14" borderId="0" xfId="2" applyNumberFormat="1" applyFont="1" applyFill="1" applyAlignment="1">
      <alignment horizontal="right"/>
    </xf>
    <xf numFmtId="168" fontId="58" fillId="14" borderId="0" xfId="2" applyNumberFormat="1" applyFont="1" applyFill="1" applyAlignment="1">
      <alignment horizontal="left"/>
    </xf>
    <xf numFmtId="0" fontId="5" fillId="14" borderId="0" xfId="0" applyFont="1" applyFill="1" applyAlignment="1">
      <alignment horizontal="left"/>
    </xf>
    <xf numFmtId="0" fontId="47" fillId="14" borderId="0" xfId="0" applyFont="1" applyFill="1" applyAlignment="1">
      <alignment horizontal="left"/>
    </xf>
    <xf numFmtId="168" fontId="25" fillId="14" borderId="0" xfId="2" applyNumberFormat="1" applyFont="1" applyFill="1" applyAlignment="1">
      <alignment horizontal="right"/>
    </xf>
    <xf numFmtId="168" fontId="64" fillId="14" borderId="0" xfId="2" applyNumberFormat="1" applyFont="1" applyFill="1" applyAlignment="1">
      <alignment horizontal="left"/>
    </xf>
    <xf numFmtId="0" fontId="61" fillId="14" borderId="0" xfId="0" applyFont="1" applyFill="1" applyAlignment="1">
      <alignment horizontal="left"/>
    </xf>
    <xf numFmtId="168" fontId="62" fillId="14" borderId="0" xfId="2" applyNumberFormat="1" applyFont="1" applyFill="1" applyAlignment="1">
      <alignment horizontal="left"/>
    </xf>
    <xf numFmtId="0" fontId="65" fillId="2" borderId="13" xfId="0" applyFont="1" applyFill="1" applyBorder="1" applyAlignment="1">
      <alignment horizontal="left"/>
    </xf>
    <xf numFmtId="0" fontId="65" fillId="2" borderId="14" xfId="0" applyFont="1" applyFill="1" applyBorder="1" applyAlignment="1">
      <alignment horizontal="center"/>
    </xf>
    <xf numFmtId="0" fontId="65" fillId="2" borderId="15" xfId="0" applyFont="1" applyFill="1" applyBorder="1" applyAlignment="1">
      <alignment horizontal="center"/>
    </xf>
    <xf numFmtId="168" fontId="65" fillId="2" borderId="15" xfId="2" applyNumberFormat="1" applyFont="1" applyFill="1" applyBorder="1" applyAlignment="1">
      <alignment horizontal="center"/>
    </xf>
    <xf numFmtId="168" fontId="65" fillId="2" borderId="16" xfId="2" applyNumberFormat="1" applyFont="1" applyFill="1" applyBorder="1" applyAlignment="1">
      <alignment horizontal="center"/>
    </xf>
    <xf numFmtId="0" fontId="5" fillId="14" borderId="0" xfId="0" applyFont="1" applyFill="1" applyBorder="1"/>
    <xf numFmtId="168" fontId="2" fillId="9" borderId="9" xfId="2" applyNumberFormat="1" applyFont="1" applyFill="1" applyBorder="1" applyAlignment="1">
      <alignment horizontal="center" vertical="center" wrapText="1"/>
    </xf>
    <xf numFmtId="168" fontId="2" fillId="9" borderId="9" xfId="2" applyNumberFormat="1" applyFont="1" applyFill="1" applyBorder="1"/>
    <xf numFmtId="168" fontId="29" fillId="9" borderId="9" xfId="2" applyNumberFormat="1" applyFont="1" applyFill="1" applyBorder="1" applyAlignment="1">
      <alignment horizontal="center"/>
    </xf>
    <xf numFmtId="14" fontId="48" fillId="6" borderId="0" xfId="0" applyNumberFormat="1" applyFont="1" applyFill="1" applyProtection="1">
      <protection hidden="1"/>
    </xf>
    <xf numFmtId="0" fontId="48" fillId="6" borderId="0" xfId="0" applyFont="1" applyFill="1" applyProtection="1">
      <protection hidden="1"/>
    </xf>
    <xf numFmtId="168" fontId="52" fillId="9" borderId="9" xfId="2" applyNumberFormat="1" applyFont="1" applyFill="1" applyBorder="1" applyAlignment="1">
      <alignment horizontal="center"/>
    </xf>
    <xf numFmtId="168" fontId="54" fillId="9" borderId="20" xfId="2" applyNumberFormat="1" applyFont="1" applyFill="1" applyBorder="1" applyAlignment="1">
      <alignment horizontal="center" vertical="center" wrapText="1"/>
    </xf>
    <xf numFmtId="168" fontId="54" fillId="9" borderId="9" xfId="2" applyNumberFormat="1" applyFont="1" applyFill="1" applyBorder="1" applyAlignment="1">
      <alignment horizontal="center" vertical="center" wrapText="1"/>
    </xf>
    <xf numFmtId="168" fontId="54" fillId="9" borderId="9" xfId="2" applyNumberFormat="1" applyFont="1" applyFill="1" applyBorder="1"/>
    <xf numFmtId="168" fontId="47" fillId="9" borderId="9" xfId="2" applyNumberFormat="1" applyFont="1" applyFill="1" applyBorder="1"/>
    <xf numFmtId="168" fontId="54" fillId="9" borderId="21" xfId="2" applyNumberFormat="1" applyFont="1" applyFill="1" applyBorder="1" applyAlignment="1">
      <alignment horizontal="center" vertical="center" wrapText="1"/>
    </xf>
    <xf numFmtId="168" fontId="2" fillId="9" borderId="0" xfId="2" applyNumberFormat="1" applyFont="1" applyFill="1" applyBorder="1"/>
    <xf numFmtId="168" fontId="54" fillId="9" borderId="0" xfId="2" applyNumberFormat="1" applyFont="1" applyFill="1" applyBorder="1"/>
    <xf numFmtId="168" fontId="2" fillId="9" borderId="21" xfId="2" applyNumberFormat="1" applyFont="1" applyFill="1" applyBorder="1" applyAlignment="1">
      <alignment horizontal="center" vertical="center" wrapText="1"/>
    </xf>
    <xf numFmtId="168" fontId="2" fillId="9" borderId="9" xfId="2" applyNumberFormat="1" applyFont="1" applyFill="1" applyBorder="1" applyAlignment="1">
      <alignment horizontal="center" vertical="center" wrapText="1"/>
    </xf>
    <xf numFmtId="168" fontId="5" fillId="4" borderId="29" xfId="2" applyNumberFormat="1" applyFont="1" applyFill="1" applyBorder="1" applyAlignment="1" applyProtection="1">
      <alignment horizontal="center" vertical="center"/>
      <protection hidden="1"/>
    </xf>
    <xf numFmtId="168" fontId="5" fillId="4" borderId="21" xfId="2" applyNumberFormat="1" applyFont="1" applyFill="1" applyBorder="1" applyAlignment="1" applyProtection="1">
      <alignment horizontal="center" vertical="center"/>
      <protection hidden="1"/>
    </xf>
    <xf numFmtId="168" fontId="60" fillId="0" borderId="0" xfId="2" applyNumberFormat="1" applyFont="1" applyAlignment="1" applyProtection="1">
      <alignment horizontal="left" wrapText="1"/>
      <protection hidden="1"/>
    </xf>
    <xf numFmtId="168" fontId="26" fillId="0" borderId="0" xfId="2" applyNumberFormat="1" applyFont="1" applyAlignment="1" applyProtection="1">
      <alignment horizontal="center" vertical="center" wrapText="1"/>
      <protection hidden="1"/>
    </xf>
    <xf numFmtId="0" fontId="5" fillId="4" borderId="20" xfId="0" applyFont="1" applyFill="1" applyBorder="1" applyAlignment="1">
      <alignment horizontal="left"/>
    </xf>
    <xf numFmtId="0" fontId="5" fillId="4" borderId="21" xfId="0" applyFont="1" applyFill="1" applyBorder="1" applyAlignment="1">
      <alignment horizontal="left"/>
    </xf>
    <xf numFmtId="168" fontId="5" fillId="0" borderId="20" xfId="2" applyNumberFormat="1" applyFont="1" applyBorder="1" applyAlignment="1" applyProtection="1">
      <alignment horizontal="center"/>
      <protection locked="0"/>
    </xf>
    <xf numFmtId="168" fontId="5" fillId="0" borderId="21" xfId="2" applyNumberFormat="1" applyFont="1" applyBorder="1" applyAlignment="1" applyProtection="1">
      <alignment horizontal="center"/>
      <protection locked="0"/>
    </xf>
    <xf numFmtId="168" fontId="2" fillId="9" borderId="20" xfId="2" applyNumberFormat="1" applyFont="1" applyFill="1" applyBorder="1" applyAlignment="1">
      <alignment horizontal="center" vertical="center" wrapText="1"/>
    </xf>
    <xf numFmtId="168" fontId="65" fillId="13" borderId="13" xfId="2" applyNumberFormat="1" applyFont="1" applyFill="1" applyBorder="1" applyAlignment="1">
      <alignment horizontal="center"/>
    </xf>
    <xf numFmtId="168" fontId="65" fillId="13" borderId="15" xfId="2" applyNumberFormat="1" applyFont="1" applyFill="1" applyBorder="1" applyAlignment="1">
      <alignment horizontal="center"/>
    </xf>
    <xf numFmtId="168" fontId="5" fillId="4" borderId="20" xfId="2" applyNumberFormat="1" applyFont="1" applyFill="1" applyBorder="1" applyAlignment="1">
      <alignment horizontal="center"/>
    </xf>
    <xf numFmtId="168" fontId="5" fillId="4" borderId="21" xfId="2" applyNumberFormat="1" applyFont="1" applyFill="1" applyBorder="1" applyAlignment="1">
      <alignment horizontal="center"/>
    </xf>
    <xf numFmtId="168" fontId="5" fillId="0" borderId="31" xfId="2" applyNumberFormat="1" applyFont="1" applyBorder="1" applyAlignment="1">
      <alignment horizontal="left"/>
    </xf>
    <xf numFmtId="168" fontId="5" fillId="0" borderId="0" xfId="2" applyNumberFormat="1" applyFont="1" applyAlignment="1">
      <alignment horizontal="left"/>
    </xf>
    <xf numFmtId="168" fontId="3" fillId="0" borderId="20" xfId="2" applyNumberFormat="1" applyFont="1" applyFill="1" applyBorder="1" applyAlignment="1" applyProtection="1">
      <alignment horizontal="center"/>
    </xf>
    <xf numFmtId="168" fontId="3" fillId="0" borderId="29" xfId="2" applyNumberFormat="1" applyFont="1" applyFill="1" applyBorder="1" applyAlignment="1" applyProtection="1">
      <alignment horizontal="center"/>
    </xf>
    <xf numFmtId="168" fontId="3" fillId="0" borderId="21" xfId="2" applyNumberFormat="1" applyFont="1" applyFill="1" applyBorder="1" applyAlignment="1" applyProtection="1">
      <alignment horizontal="center"/>
    </xf>
    <xf numFmtId="0" fontId="18" fillId="6" borderId="0" xfId="0" applyFont="1" applyFill="1" applyAlignment="1">
      <alignment horizontal="left" wrapText="1"/>
    </xf>
    <xf numFmtId="0" fontId="18" fillId="6" borderId="0" xfId="0" applyFont="1" applyFill="1" applyAlignment="1">
      <alignment horizontal="left"/>
    </xf>
    <xf numFmtId="0" fontId="15" fillId="14" borderId="0" xfId="0" applyFont="1" applyFill="1" applyBorder="1" applyAlignment="1">
      <alignment horizontal="center"/>
    </xf>
    <xf numFmtId="0" fontId="6" fillId="5" borderId="3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4" fillId="5" borderId="38" xfId="0" applyFont="1" applyFill="1" applyBorder="1" applyAlignment="1">
      <alignment horizontal="center"/>
    </xf>
    <xf numFmtId="0" fontId="14" fillId="5" borderId="39" xfId="0" applyFont="1" applyFill="1" applyBorder="1" applyAlignment="1">
      <alignment horizontal="center"/>
    </xf>
    <xf numFmtId="0" fontId="14" fillId="5" borderId="26" xfId="0" applyFont="1" applyFill="1" applyBorder="1" applyAlignment="1">
      <alignment horizontal="center"/>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5" borderId="31" xfId="0" applyFont="1" applyFill="1" applyBorder="1" applyAlignment="1">
      <alignment horizontal="center" vertical="center" wrapText="1"/>
    </xf>
    <xf numFmtId="0" fontId="6" fillId="2" borderId="29" xfId="0" applyFont="1" applyFill="1" applyBorder="1" applyAlignment="1">
      <alignment horizontal="center" vertical="top" wrapText="1"/>
    </xf>
    <xf numFmtId="0" fontId="6" fillId="2" borderId="44" xfId="0" applyFont="1" applyFill="1" applyBorder="1" applyAlignment="1">
      <alignment horizontal="center" vertical="center" wrapText="1"/>
    </xf>
    <xf numFmtId="0" fontId="6" fillId="5" borderId="0" xfId="0" applyFont="1" applyFill="1" applyBorder="1" applyAlignment="1">
      <alignment horizontal="center" vertical="center" wrapText="1"/>
    </xf>
  </cellXfs>
  <cellStyles count="6">
    <cellStyle name="Hipervínculo" xfId="1" builtinId="8"/>
    <cellStyle name="Millares" xfId="2" builtinId="3"/>
    <cellStyle name="Millares [0]" xfId="3" builtinId="6"/>
    <cellStyle name="Moneda" xfId="4" builtinId="4"/>
    <cellStyle name="Normal" xfId="0" builtinId="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hyperlink" Target="#PRINT1!A1"/><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1297305</xdr:colOff>
      <xdr:row>1</xdr:row>
      <xdr:rowOff>26670</xdr:rowOff>
    </xdr:from>
    <xdr:to>
      <xdr:col>3</xdr:col>
      <xdr:colOff>5039205</xdr:colOff>
      <xdr:row>4</xdr:row>
      <xdr:rowOff>200025</xdr:rowOff>
    </xdr:to>
    <xdr:sp macro="" textlink="">
      <xdr:nvSpPr>
        <xdr:cNvPr id="6" name="5 CuadroTexto"/>
        <xdr:cNvSpPr txBox="1"/>
      </xdr:nvSpPr>
      <xdr:spPr>
        <a:xfrm>
          <a:off x="1773555" y="93345"/>
          <a:ext cx="3741900" cy="573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sz="1100"/>
            <a:t>Retefuente para asalariados,</a:t>
          </a:r>
          <a:r>
            <a:rPr lang="es-CO" sz="1100" baseline="0"/>
            <a:t> </a:t>
          </a:r>
          <a:r>
            <a:rPr lang="es-CO" sz="1100"/>
            <a:t>actualizado Ley 2010 de 2019, Procedimiento No 1</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69</xdr:row>
          <xdr:rowOff>66675</xdr:rowOff>
        </xdr:from>
        <xdr:to>
          <xdr:col>2</xdr:col>
          <xdr:colOff>0</xdr:colOff>
          <xdr:row>71</xdr:row>
          <xdr:rowOff>0</xdr:rowOff>
        </xdr:to>
        <xdr:sp macro="" textlink="">
          <xdr:nvSpPr>
            <xdr:cNvPr id="1047" name="CommandButton9"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8</xdr:col>
      <xdr:colOff>723900</xdr:colOff>
      <xdr:row>1</xdr:row>
      <xdr:rowOff>85493</xdr:rowOff>
    </xdr:from>
    <xdr:to>
      <xdr:col>8</xdr:col>
      <xdr:colOff>1419224</xdr:colOff>
      <xdr:row>5</xdr:row>
      <xdr:rowOff>47625</xdr:rowOff>
    </xdr:to>
    <xdr:grpSp>
      <xdr:nvGrpSpPr>
        <xdr:cNvPr id="5" name="Grupo 4">
          <a:hlinkClick xmlns:r="http://schemas.openxmlformats.org/officeDocument/2006/relationships" r:id="rId1" tooltip="Ir a vista prar impresión"/>
        </xdr:cNvPr>
        <xdr:cNvGrpSpPr/>
      </xdr:nvGrpSpPr>
      <xdr:grpSpPr>
        <a:xfrm>
          <a:off x="9553575" y="152168"/>
          <a:ext cx="695324" cy="590782"/>
          <a:chOff x="1009650" y="114068"/>
          <a:chExt cx="695324" cy="590782"/>
        </a:xfrm>
      </xdr:grpSpPr>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3" name="CuadroTexto 2"/>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editAs="oneCell">
    <xdr:from>
      <xdr:col>1</xdr:col>
      <xdr:colOff>38099</xdr:colOff>
      <xdr:row>1</xdr:row>
      <xdr:rowOff>38101</xdr:rowOff>
    </xdr:from>
    <xdr:to>
      <xdr:col>3</xdr:col>
      <xdr:colOff>1251229</xdr:colOff>
      <xdr:row>4</xdr:row>
      <xdr:rowOff>200025</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4" y="104776"/>
          <a:ext cx="1584605" cy="561974"/>
        </a:xfrm>
        <a:prstGeom prst="rect">
          <a:avLst/>
        </a:prstGeom>
      </xdr:spPr>
    </xdr:pic>
    <xdr:clientData/>
  </xdr:twoCellAnchor>
  <xdr:twoCellAnchor editAs="absolute">
    <xdr:from>
      <xdr:col>9</xdr:col>
      <xdr:colOff>123825</xdr:colOff>
      <xdr:row>1</xdr:row>
      <xdr:rowOff>57150</xdr:rowOff>
    </xdr:from>
    <xdr:to>
      <xdr:col>10</xdr:col>
      <xdr:colOff>923926</xdr:colOff>
      <xdr:row>4</xdr:row>
      <xdr:rowOff>190500</xdr:rowOff>
    </xdr:to>
    <xdr:sp macro="" textlink="">
      <xdr:nvSpPr>
        <xdr:cNvPr id="8" name="CuadroTexto 7">
          <a:hlinkClick xmlns:r="http://schemas.openxmlformats.org/officeDocument/2006/relationships" r:id="rId4"/>
        </xdr:cNvPr>
        <xdr:cNvSpPr txBox="1"/>
      </xdr:nvSpPr>
      <xdr:spPr>
        <a:xfrm>
          <a:off x="10382250" y="123825"/>
          <a:ext cx="1666876" cy="533400"/>
        </a:xfrm>
        <a:prstGeom prst="rect">
          <a:avLst/>
        </a:prstGeom>
        <a:solidFill>
          <a:srgbClr val="FFC000"/>
        </a:solidFill>
        <a:ln w="9525" cmpd="sng">
          <a:solidFill>
            <a:schemeClr val="lt1">
              <a:shade val="50000"/>
            </a:schemeClr>
          </a:solidFill>
        </a:ln>
        <a:effectLst>
          <a:softEdge rad="12700"/>
        </a:effectLst>
        <a:scene3d>
          <a:camera prst="orthographicFront"/>
          <a:lightRig rig="threePt" dir="t"/>
        </a:scene3d>
        <a:sp3d extrusionH="76200" contourW="12700">
          <a:bevelT/>
          <a:bevelB w="139700" prst="cross"/>
          <a:extrusionClr>
            <a:srgbClr val="FF0000"/>
          </a:extrusionClr>
          <a:contourClr>
            <a:schemeClr val="bg1">
              <a:lumMod val="65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tx1"/>
              </a:solidFill>
              <a:latin typeface="Aril"/>
            </a:rPr>
            <a:t>Más Herramientas contables y tributarias aquí</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1</xdr:row>
      <xdr:rowOff>85725</xdr:rowOff>
    </xdr:from>
    <xdr:to>
      <xdr:col>3</xdr:col>
      <xdr:colOff>12502</xdr:colOff>
      <xdr:row>3</xdr:row>
      <xdr:rowOff>77561</xdr:rowOff>
    </xdr:to>
    <xdr:pic>
      <xdr:nvPicPr>
        <xdr:cNvPr id="10" name="Imagen 9" descr="Imagen relacionada">
          <a:hlinkClick xmlns:r="http://schemas.openxmlformats.org/officeDocument/2006/relationships" r:id="rId1" tooltip="Retornar"/>
          <a:extLst>
            <a:ext uri="{FF2B5EF4-FFF2-40B4-BE49-F238E27FC236}">
              <a16:creationId xmlns=""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6200" y="15240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123825</xdr:colOff>
      <xdr:row>0</xdr:row>
      <xdr:rowOff>57150</xdr:rowOff>
    </xdr:from>
    <xdr:to>
      <xdr:col>1</xdr:col>
      <xdr:colOff>403027</xdr:colOff>
      <xdr:row>0</xdr:row>
      <xdr:rowOff>363311</xdr:rowOff>
    </xdr:to>
    <xdr:pic>
      <xdr:nvPicPr>
        <xdr:cNvPr id="3" name="Imagen 2" descr="Imagen relacionada">
          <a:hlinkClick xmlns:r="http://schemas.openxmlformats.org/officeDocument/2006/relationships" r:id="rId1" tooltip="Retornar"/>
          <a:extLst>
            <a:ext uri="{FF2B5EF4-FFF2-40B4-BE49-F238E27FC236}">
              <a16:creationId xmlns=""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23825" y="5715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41413</xdr:colOff>
      <xdr:row>1</xdr:row>
      <xdr:rowOff>99391</xdr:rowOff>
    </xdr:from>
    <xdr:to>
      <xdr:col>1</xdr:col>
      <xdr:colOff>453965</xdr:colOff>
      <xdr:row>3</xdr:row>
      <xdr:rowOff>57683</xdr:rowOff>
    </xdr:to>
    <xdr:pic>
      <xdr:nvPicPr>
        <xdr:cNvPr id="3" name="Imagen 2" descr="Imagen relacionada">
          <a:hlinkClick xmlns:r="http://schemas.openxmlformats.org/officeDocument/2006/relationships" r:id="rId1" tooltip="Retornar"/>
          <a:extLst>
            <a:ext uri="{FF2B5EF4-FFF2-40B4-BE49-F238E27FC236}">
              <a16:creationId xmlns=""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9391" y="16565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74543</xdr:colOff>
      <xdr:row>1</xdr:row>
      <xdr:rowOff>132521</xdr:rowOff>
    </xdr:from>
    <xdr:to>
      <xdr:col>1</xdr:col>
      <xdr:colOff>487095</xdr:colOff>
      <xdr:row>3</xdr:row>
      <xdr:rowOff>90813</xdr:rowOff>
    </xdr:to>
    <xdr:pic>
      <xdr:nvPicPr>
        <xdr:cNvPr id="3" name="Imagen 2" descr="Imagen relacionada">
          <a:hlinkClick xmlns:r="http://schemas.openxmlformats.org/officeDocument/2006/relationships" r:id="rId1" tooltip="Retornar"/>
          <a:extLst>
            <a:ext uri="{FF2B5EF4-FFF2-40B4-BE49-F238E27FC236}">
              <a16:creationId xmlns=""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32521" y="19878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consultorcontable1@gmail.com" TargetMode="External"/><Relationship Id="rId7" Type="http://schemas.openxmlformats.org/officeDocument/2006/relationships/control" Target="../activeX/activeX1.xml"/><Relationship Id="rId2" Type="http://schemas.openxmlformats.org/officeDocument/2006/relationships/hyperlink" Target="http://www.consultorcontable.com/retenci%C3%B3n-salarios/" TargetMode="External"/><Relationship Id="rId1" Type="http://schemas.openxmlformats.org/officeDocument/2006/relationships/hyperlink" Target="http://www.consultorcontable.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280"/>
  <sheetViews>
    <sheetView showGridLines="0" tabSelected="1" defaultGridColor="0" colorId="23" zoomScaleNormal="100" workbookViewId="0">
      <pane ySplit="6" topLeftCell="A7" activePane="bottomLeft" state="frozen"/>
      <selection pane="bottomLeft" activeCell="K19" sqref="K19"/>
    </sheetView>
  </sheetViews>
  <sheetFormatPr baseColWidth="10" defaultColWidth="0" defaultRowHeight="12.75" outlineLevelCol="1" x14ac:dyDescent="0.2"/>
  <cols>
    <col min="1" max="1" width="1.5703125" style="42" customWidth="1"/>
    <col min="2" max="2" width="4" style="42" customWidth="1"/>
    <col min="3" max="3" width="1.5703125" style="42" customWidth="1"/>
    <col min="4" max="4" width="76.5703125" style="42" customWidth="1"/>
    <col min="5" max="5" width="16.42578125" style="48" customWidth="1"/>
    <col min="6" max="6" width="32.28515625" style="48" customWidth="1" outlineLevel="1"/>
    <col min="7" max="7" width="13.28515625" style="49" hidden="1" customWidth="1" outlineLevel="1"/>
    <col min="8" max="8" width="14" style="49" hidden="1" customWidth="1" outlineLevel="1"/>
    <col min="9" max="9" width="21.42578125" style="48" customWidth="1" collapsed="1"/>
    <col min="10" max="10" width="13" style="48" bestFit="1" customWidth="1"/>
    <col min="11" max="11" width="14.7109375" style="48" customWidth="1"/>
    <col min="12" max="13" width="11.42578125" style="48" hidden="1" customWidth="1"/>
    <col min="14" max="14" width="11.42578125" style="42" hidden="1" customWidth="1"/>
    <col min="15" max="16384" width="0" style="42" hidden="1"/>
  </cols>
  <sheetData>
    <row r="1" spans="1:14" ht="5.25" customHeight="1" x14ac:dyDescent="0.2"/>
    <row r="2" spans="1:14" ht="8.25" customHeight="1" x14ac:dyDescent="0.25">
      <c r="B2" s="213"/>
      <c r="C2" s="213"/>
      <c r="D2" s="213"/>
      <c r="E2" s="214"/>
      <c r="F2" s="214"/>
      <c r="G2" s="215"/>
      <c r="H2" s="215"/>
      <c r="I2" s="214"/>
      <c r="J2" s="216"/>
      <c r="K2" s="216"/>
      <c r="L2" s="50"/>
      <c r="M2" s="50"/>
      <c r="N2" s="50"/>
    </row>
    <row r="3" spans="1:14" ht="16.5" customHeight="1" x14ac:dyDescent="0.3">
      <c r="B3" s="213"/>
      <c r="C3" s="213"/>
      <c r="D3" s="217"/>
      <c r="E3" s="222" t="s">
        <v>150</v>
      </c>
      <c r="F3" s="216"/>
      <c r="G3" s="218"/>
      <c r="H3" s="218"/>
      <c r="I3" s="216"/>
      <c r="J3" s="216"/>
      <c r="K3" s="216"/>
      <c r="L3" s="50"/>
      <c r="M3" s="50"/>
      <c r="N3" s="50"/>
    </row>
    <row r="4" spans="1:14" ht="6.75" customHeight="1" x14ac:dyDescent="0.3">
      <c r="B4" s="213"/>
      <c r="C4" s="213"/>
      <c r="D4" s="217"/>
      <c r="E4" s="223"/>
      <c r="F4" s="219"/>
      <c r="G4" s="220"/>
      <c r="H4" s="220"/>
      <c r="I4" s="219"/>
      <c r="J4" s="216"/>
      <c r="K4" s="216"/>
      <c r="L4" s="50"/>
      <c r="M4" s="50"/>
      <c r="N4" s="50"/>
    </row>
    <row r="5" spans="1:14" ht="18" x14ac:dyDescent="0.25">
      <c r="B5" s="213"/>
      <c r="C5" s="213"/>
      <c r="D5" s="221"/>
      <c r="E5" s="224" t="str">
        <f>+B8</f>
        <v>Procedimiento No. 1</v>
      </c>
      <c r="F5" s="216"/>
      <c r="G5" s="218"/>
      <c r="H5" s="218"/>
      <c r="I5" s="216"/>
      <c r="J5" s="216"/>
      <c r="K5" s="216"/>
      <c r="L5" s="50"/>
      <c r="M5" s="50"/>
      <c r="N5" s="50"/>
    </row>
    <row r="6" spans="1:14" ht="6" customHeight="1" x14ac:dyDescent="0.25">
      <c r="B6" s="185"/>
      <c r="C6" s="185"/>
      <c r="D6" s="185"/>
      <c r="E6" s="189"/>
      <c r="F6" s="186"/>
      <c r="G6" s="187"/>
      <c r="H6" s="187"/>
      <c r="I6" s="186"/>
      <c r="J6" s="188"/>
      <c r="K6" s="188"/>
      <c r="L6" s="50"/>
      <c r="M6" s="50"/>
      <c r="N6" s="50"/>
    </row>
    <row r="8" spans="1:14" ht="18" x14ac:dyDescent="0.25">
      <c r="B8" s="211" t="s">
        <v>29</v>
      </c>
      <c r="C8" s="212"/>
      <c r="D8" s="212"/>
      <c r="E8" s="42"/>
      <c r="F8" s="51"/>
      <c r="I8" s="52" t="s">
        <v>5</v>
      </c>
      <c r="K8" s="249"/>
      <c r="L8" s="249"/>
      <c r="M8" s="249"/>
      <c r="N8" s="249"/>
    </row>
    <row r="9" spans="1:14" ht="15" customHeight="1" x14ac:dyDescent="0.2">
      <c r="E9" s="42"/>
      <c r="F9" s="51"/>
      <c r="I9" s="53"/>
      <c r="K9" s="249"/>
      <c r="L9" s="249"/>
      <c r="M9" s="249"/>
      <c r="N9" s="249"/>
    </row>
    <row r="10" spans="1:14" ht="13.5" thickBot="1" x14ac:dyDescent="0.25">
      <c r="D10" s="42" t="s">
        <v>25</v>
      </c>
      <c r="K10" s="249"/>
      <c r="L10" s="249"/>
      <c r="M10" s="249"/>
      <c r="N10" s="249"/>
    </row>
    <row r="11" spans="1:14" ht="15.75" thickBot="1" x14ac:dyDescent="0.3">
      <c r="D11" s="172" t="s">
        <v>30</v>
      </c>
      <c r="E11" s="190" t="s">
        <v>34</v>
      </c>
      <c r="I11" s="54" t="s">
        <v>137</v>
      </c>
      <c r="K11" s="249"/>
      <c r="L11" s="249"/>
      <c r="M11" s="249"/>
      <c r="N11" s="249"/>
    </row>
    <row r="12" spans="1:14" ht="14.25" x14ac:dyDescent="0.2">
      <c r="D12" s="171" t="s">
        <v>58</v>
      </c>
      <c r="K12" s="249"/>
      <c r="L12" s="249"/>
      <c r="M12" s="249"/>
      <c r="N12" s="249"/>
    </row>
    <row r="13" spans="1:14" ht="14.25" x14ac:dyDescent="0.2">
      <c r="D13" s="171" t="s">
        <v>87</v>
      </c>
      <c r="E13" s="191" t="s">
        <v>4</v>
      </c>
      <c r="F13" s="55"/>
      <c r="G13" s="56"/>
      <c r="H13" s="56"/>
      <c r="I13" s="193" t="s">
        <v>35</v>
      </c>
      <c r="K13" s="249"/>
      <c r="L13" s="249"/>
      <c r="M13" s="249"/>
      <c r="N13" s="249"/>
    </row>
    <row r="14" spans="1:14" x14ac:dyDescent="0.2">
      <c r="A14" s="57"/>
      <c r="D14" s="210"/>
      <c r="E14" s="192" t="s">
        <v>136</v>
      </c>
      <c r="I14" s="58">
        <v>36308</v>
      </c>
    </row>
    <row r="15" spans="1:14" x14ac:dyDescent="0.2">
      <c r="E15" s="192" t="s">
        <v>128</v>
      </c>
      <c r="I15" s="58">
        <v>35607</v>
      </c>
    </row>
    <row r="16" spans="1:14" ht="13.5" thickBot="1" x14ac:dyDescent="0.25">
      <c r="D16" s="60" t="str">
        <f ca="1">IF(D104=1,"Aplicativo vencido, visite www.consultorcontable.com y descargue la versión actualizada","")</f>
        <v/>
      </c>
    </row>
    <row r="17" spans="2:12" ht="15.75" thickBot="1" x14ac:dyDescent="0.3">
      <c r="B17" s="225"/>
      <c r="C17" s="226"/>
      <c r="D17" s="227" t="s">
        <v>36</v>
      </c>
      <c r="E17" s="228" t="s">
        <v>31</v>
      </c>
      <c r="F17" s="229" t="s">
        <v>32</v>
      </c>
      <c r="G17" s="255" t="s">
        <v>69</v>
      </c>
      <c r="H17" s="256"/>
      <c r="I17" s="229" t="s">
        <v>33</v>
      </c>
    </row>
    <row r="18" spans="2:12" ht="13.5" thickBot="1" x14ac:dyDescent="0.25">
      <c r="D18" s="1"/>
      <c r="E18" s="61"/>
      <c r="F18" s="61"/>
      <c r="G18" s="62"/>
      <c r="H18" s="62"/>
      <c r="I18" s="61"/>
      <c r="L18" s="48" t="s">
        <v>57</v>
      </c>
    </row>
    <row r="19" spans="2:12" ht="14.25" customHeight="1" thickBot="1" x14ac:dyDescent="0.3">
      <c r="B19" s="63">
        <v>1</v>
      </c>
      <c r="C19" s="64"/>
      <c r="D19" s="123" t="s">
        <v>79</v>
      </c>
    </row>
    <row r="20" spans="2:12" ht="12.75" customHeight="1" x14ac:dyDescent="0.2">
      <c r="D20" s="65" t="s">
        <v>48</v>
      </c>
      <c r="E20" s="59">
        <v>0</v>
      </c>
      <c r="F20" s="233"/>
      <c r="G20" s="236"/>
      <c r="H20" s="236"/>
      <c r="I20" s="66">
        <f>+E20</f>
        <v>0</v>
      </c>
    </row>
    <row r="21" spans="2:12" ht="12.75" customHeight="1" x14ac:dyDescent="0.2">
      <c r="D21" s="65" t="s">
        <v>49</v>
      </c>
      <c r="E21" s="59">
        <v>0</v>
      </c>
      <c r="F21" s="233"/>
      <c r="G21" s="236"/>
      <c r="H21" s="236"/>
      <c r="I21" s="66">
        <f t="shared" ref="I21:I37" si="0">+E21</f>
        <v>0</v>
      </c>
    </row>
    <row r="22" spans="2:12" ht="12.75" customHeight="1" x14ac:dyDescent="0.2">
      <c r="D22" s="65" t="s">
        <v>50</v>
      </c>
      <c r="E22" s="59">
        <v>0</v>
      </c>
      <c r="F22" s="233"/>
      <c r="G22" s="236"/>
      <c r="H22" s="236"/>
      <c r="I22" s="66">
        <f t="shared" si="0"/>
        <v>0</v>
      </c>
    </row>
    <row r="23" spans="2:12" ht="12.75" customHeight="1" x14ac:dyDescent="0.2">
      <c r="D23" s="65" t="s">
        <v>51</v>
      </c>
      <c r="E23" s="59">
        <v>0</v>
      </c>
      <c r="F23" s="233"/>
      <c r="G23" s="236"/>
      <c r="H23" s="236"/>
      <c r="I23" s="66">
        <f t="shared" si="0"/>
        <v>0</v>
      </c>
    </row>
    <row r="24" spans="2:12" ht="12.75" customHeight="1" x14ac:dyDescent="0.2">
      <c r="D24" s="65" t="s">
        <v>52</v>
      </c>
      <c r="E24" s="59">
        <v>0</v>
      </c>
      <c r="F24" s="233"/>
      <c r="G24" s="236"/>
      <c r="H24" s="236"/>
      <c r="I24" s="66">
        <f t="shared" si="0"/>
        <v>0</v>
      </c>
    </row>
    <row r="25" spans="2:12" ht="12.75" customHeight="1" x14ac:dyDescent="0.2">
      <c r="D25" s="65" t="s">
        <v>66</v>
      </c>
      <c r="E25" s="59">
        <v>0</v>
      </c>
      <c r="F25" s="233"/>
      <c r="G25" s="236"/>
      <c r="H25" s="236"/>
      <c r="I25" s="66">
        <f t="shared" si="0"/>
        <v>0</v>
      </c>
    </row>
    <row r="26" spans="2:12" ht="12.75" customHeight="1" x14ac:dyDescent="0.2">
      <c r="D26" s="65" t="s">
        <v>53</v>
      </c>
      <c r="E26" s="59">
        <v>0</v>
      </c>
      <c r="F26" s="233"/>
      <c r="G26" s="236"/>
      <c r="H26" s="236"/>
      <c r="I26" s="66">
        <f t="shared" si="0"/>
        <v>0</v>
      </c>
    </row>
    <row r="27" spans="2:12" ht="12.75" hidden="1" customHeight="1" x14ac:dyDescent="0.2">
      <c r="D27" s="65" t="s">
        <v>94</v>
      </c>
      <c r="E27" s="59">
        <v>0</v>
      </c>
      <c r="F27" s="233"/>
      <c r="G27" s="236"/>
      <c r="H27" s="236"/>
      <c r="I27" s="66">
        <f t="shared" si="0"/>
        <v>0</v>
      </c>
    </row>
    <row r="28" spans="2:12" ht="12.75" customHeight="1" x14ac:dyDescent="0.2">
      <c r="D28" s="65" t="s">
        <v>67</v>
      </c>
      <c r="E28" s="59">
        <v>0</v>
      </c>
      <c r="F28" s="233"/>
      <c r="G28" s="236"/>
      <c r="H28" s="236"/>
      <c r="I28" s="66">
        <f t="shared" si="0"/>
        <v>0</v>
      </c>
    </row>
    <row r="29" spans="2:12" ht="12.75" customHeight="1" x14ac:dyDescent="0.2">
      <c r="D29" s="65" t="s">
        <v>65</v>
      </c>
      <c r="E29" s="59">
        <v>0</v>
      </c>
      <c r="F29" s="233"/>
      <c r="G29" s="236"/>
      <c r="H29" s="236"/>
      <c r="I29" s="66">
        <f t="shared" si="0"/>
        <v>0</v>
      </c>
    </row>
    <row r="30" spans="2:12" ht="12.75" customHeight="1" x14ac:dyDescent="0.2">
      <c r="D30" s="65" t="s">
        <v>54</v>
      </c>
      <c r="E30" s="59">
        <v>0</v>
      </c>
      <c r="F30" s="233"/>
      <c r="G30" s="236"/>
      <c r="H30" s="236"/>
      <c r="I30" s="66">
        <f t="shared" si="0"/>
        <v>0</v>
      </c>
    </row>
    <row r="31" spans="2:12" ht="12.75" customHeight="1" x14ac:dyDescent="0.2">
      <c r="D31" s="65" t="s">
        <v>88</v>
      </c>
      <c r="E31" s="59">
        <v>0</v>
      </c>
      <c r="F31" s="233"/>
      <c r="G31" s="236"/>
      <c r="H31" s="236"/>
      <c r="I31" s="66">
        <f t="shared" si="0"/>
        <v>0</v>
      </c>
    </row>
    <row r="32" spans="2:12" ht="12.75" customHeight="1" x14ac:dyDescent="0.2">
      <c r="D32" s="65" t="s">
        <v>102</v>
      </c>
      <c r="E32" s="59">
        <v>0</v>
      </c>
      <c r="F32" s="233" t="s">
        <v>57</v>
      </c>
      <c r="G32" s="236"/>
      <c r="H32" s="236"/>
      <c r="I32" s="66">
        <v>0</v>
      </c>
    </row>
    <row r="33" spans="2:13" ht="12.75" customHeight="1" x14ac:dyDescent="0.2">
      <c r="D33" s="65" t="s">
        <v>103</v>
      </c>
      <c r="E33" s="59">
        <v>0</v>
      </c>
      <c r="F33" s="233" t="s">
        <v>57</v>
      </c>
      <c r="G33" s="236"/>
      <c r="H33" s="236"/>
      <c r="I33" s="66">
        <v>0</v>
      </c>
    </row>
    <row r="34" spans="2:13" ht="12.75" customHeight="1" x14ac:dyDescent="0.2">
      <c r="D34" s="65" t="s">
        <v>59</v>
      </c>
      <c r="E34" s="59">
        <v>0</v>
      </c>
      <c r="F34" s="233"/>
      <c r="G34" s="236"/>
      <c r="H34" s="236"/>
      <c r="I34" s="66">
        <v>0</v>
      </c>
    </row>
    <row r="35" spans="2:13" ht="12.75" customHeight="1" x14ac:dyDescent="0.2">
      <c r="D35" s="65" t="s">
        <v>55</v>
      </c>
      <c r="E35" s="59">
        <v>0</v>
      </c>
      <c r="F35" s="233"/>
      <c r="G35" s="236"/>
      <c r="H35" s="236"/>
      <c r="I35" s="66">
        <f t="shared" si="0"/>
        <v>0</v>
      </c>
    </row>
    <row r="36" spans="2:13" ht="12.75" customHeight="1" x14ac:dyDescent="0.2">
      <c r="D36" s="65" t="s">
        <v>56</v>
      </c>
      <c r="E36" s="59">
        <v>0</v>
      </c>
      <c r="F36" s="233"/>
      <c r="G36" s="236"/>
      <c r="H36" s="236"/>
      <c r="I36" s="66">
        <f t="shared" si="0"/>
        <v>0</v>
      </c>
    </row>
    <row r="37" spans="2:13" ht="12.75" customHeight="1" x14ac:dyDescent="0.2">
      <c r="B37" s="67"/>
      <c r="D37" s="65" t="s">
        <v>92</v>
      </c>
      <c r="E37" s="59">
        <v>0</v>
      </c>
      <c r="F37" s="233"/>
      <c r="G37" s="236"/>
      <c r="H37" s="236"/>
      <c r="I37" s="66">
        <f t="shared" si="0"/>
        <v>0</v>
      </c>
    </row>
    <row r="38" spans="2:13" ht="12.75" customHeight="1" x14ac:dyDescent="0.2">
      <c r="B38" s="67"/>
      <c r="D38" s="68" t="s">
        <v>91</v>
      </c>
      <c r="E38" s="69">
        <f>SUM(E20:E37)</f>
        <v>0</v>
      </c>
      <c r="F38" s="70"/>
      <c r="G38" s="71"/>
      <c r="H38" s="71"/>
      <c r="I38" s="69">
        <f>SUM(I20:I37)</f>
        <v>0</v>
      </c>
    </row>
    <row r="39" spans="2:13" ht="12.75" customHeight="1" x14ac:dyDescent="0.2">
      <c r="B39" s="67"/>
      <c r="D39" s="68" t="s">
        <v>93</v>
      </c>
      <c r="E39" s="69">
        <f>+I38-I32-I33-I34</f>
        <v>0</v>
      </c>
      <c r="F39" s="203"/>
      <c r="G39" s="204"/>
      <c r="H39" s="204"/>
      <c r="I39" s="69"/>
    </row>
    <row r="40" spans="2:13" x14ac:dyDescent="0.2">
      <c r="B40" s="67"/>
      <c r="F40" s="72"/>
      <c r="G40" s="73"/>
      <c r="H40" s="73"/>
      <c r="I40" s="48" t="s">
        <v>57</v>
      </c>
    </row>
    <row r="41" spans="2:13" x14ac:dyDescent="0.2">
      <c r="B41" s="67"/>
      <c r="D41" s="74" t="s">
        <v>106</v>
      </c>
      <c r="E41" s="75"/>
      <c r="F41" s="76"/>
      <c r="G41" s="77"/>
      <c r="H41" s="77"/>
      <c r="I41" s="78">
        <f>+E39</f>
        <v>0</v>
      </c>
    </row>
    <row r="42" spans="2:13" s="80" customFormat="1" ht="13.5" thickBot="1" x14ac:dyDescent="0.25">
      <c r="B42" s="79"/>
      <c r="D42" s="81"/>
      <c r="E42" s="81"/>
      <c r="F42" s="81"/>
      <c r="G42" s="82"/>
      <c r="H42" s="82"/>
      <c r="I42" s="83"/>
      <c r="J42" s="84"/>
      <c r="K42" s="84"/>
      <c r="L42" s="84"/>
      <c r="M42" s="84"/>
    </row>
    <row r="43" spans="2:13" ht="14.25" customHeight="1" thickBot="1" x14ac:dyDescent="0.25">
      <c r="B43" s="63">
        <v>2</v>
      </c>
      <c r="D43" s="85" t="s">
        <v>107</v>
      </c>
    </row>
    <row r="44" spans="2:13" ht="14.25" customHeight="1" x14ac:dyDescent="0.2">
      <c r="B44" s="86"/>
      <c r="D44" s="65" t="s">
        <v>96</v>
      </c>
      <c r="E44" s="59"/>
      <c r="F44" s="231" t="s">
        <v>97</v>
      </c>
      <c r="G44" s="237"/>
      <c r="H44" s="237">
        <f>+E44</f>
        <v>0</v>
      </c>
      <c r="I44" s="66">
        <f>+H44</f>
        <v>0</v>
      </c>
      <c r="J44" s="48" t="str">
        <f>+IF((I44)&gt;(E20*4%),"revisar descuento","ok")</f>
        <v>ok</v>
      </c>
      <c r="K44"/>
    </row>
    <row r="45" spans="2:13" ht="14.25" customHeight="1" x14ac:dyDescent="0.2">
      <c r="B45" s="86"/>
      <c r="D45" s="65" t="s">
        <v>81</v>
      </c>
      <c r="E45" s="59">
        <v>0</v>
      </c>
      <c r="F45" s="231" t="s">
        <v>97</v>
      </c>
      <c r="G45" s="238"/>
      <c r="H45" s="238">
        <f>+E45</f>
        <v>0</v>
      </c>
      <c r="I45" s="66">
        <f>+H45</f>
        <v>0</v>
      </c>
      <c r="J45" s="48" t="str">
        <f>+IF((I45)&gt;(E20*2%),"revisar descuento","ok")</f>
        <v>ok</v>
      </c>
    </row>
    <row r="46" spans="2:13" ht="14.25" customHeight="1" x14ac:dyDescent="0.2">
      <c r="B46" s="86"/>
      <c r="D46" s="120" t="s">
        <v>115</v>
      </c>
      <c r="E46" s="59">
        <v>0</v>
      </c>
      <c r="F46" s="231" t="s">
        <v>114</v>
      </c>
      <c r="G46" s="238">
        <f>+E39*25%</f>
        <v>0</v>
      </c>
      <c r="H46" s="238">
        <f>2500*I14</f>
        <v>90770000</v>
      </c>
      <c r="I46" s="66">
        <f>IF(E46&lt;J46,E46,J46)</f>
        <v>0</v>
      </c>
      <c r="J46" s="51">
        <f>MIN(G46,H46)</f>
        <v>0</v>
      </c>
    </row>
    <row r="47" spans="2:13" ht="14.25" customHeight="1" x14ac:dyDescent="0.2">
      <c r="B47" s="86"/>
      <c r="D47" s="169" t="s">
        <v>122</v>
      </c>
      <c r="E47" s="59">
        <v>0</v>
      </c>
      <c r="F47" s="231" t="s">
        <v>97</v>
      </c>
      <c r="G47" s="238"/>
      <c r="H47" s="238">
        <f>+E47</f>
        <v>0</v>
      </c>
      <c r="I47" s="66">
        <f>+E47</f>
        <v>0</v>
      </c>
      <c r="J47" s="48" t="str">
        <f>+IF((I47)&gt;(E20*4%),"revisar descuento","ok")</f>
        <v>ok</v>
      </c>
      <c r="K47" s="89"/>
    </row>
    <row r="48" spans="2:13" x14ac:dyDescent="0.2">
      <c r="B48" s="67"/>
      <c r="D48" s="92" t="s">
        <v>108</v>
      </c>
      <c r="E48" s="69">
        <f>SUM(E44:E47)</f>
        <v>0</v>
      </c>
      <c r="F48" s="232"/>
      <c r="G48" s="239"/>
      <c r="H48" s="239"/>
      <c r="I48" s="69">
        <f>SUM(I44:I47)</f>
        <v>0</v>
      </c>
    </row>
    <row r="49" spans="2:14" x14ac:dyDescent="0.2">
      <c r="B49" s="67"/>
    </row>
    <row r="50" spans="2:14" x14ac:dyDescent="0.2">
      <c r="B50" s="67"/>
      <c r="D50" s="74" t="s">
        <v>104</v>
      </c>
      <c r="E50" s="75"/>
      <c r="F50" s="76"/>
      <c r="G50" s="77"/>
      <c r="H50" s="77"/>
      <c r="I50" s="78">
        <f>+I41-I48</f>
        <v>0</v>
      </c>
    </row>
    <row r="51" spans="2:14" ht="13.5" thickBot="1" x14ac:dyDescent="0.25">
      <c r="B51" s="67"/>
      <c r="H51" s="49" t="s">
        <v>57</v>
      </c>
      <c r="I51" s="93"/>
    </row>
    <row r="52" spans="2:14" ht="16.5" thickBot="1" x14ac:dyDescent="0.25">
      <c r="B52" s="63">
        <v>3</v>
      </c>
      <c r="D52" s="119" t="s">
        <v>75</v>
      </c>
      <c r="H52" s="49" t="s">
        <v>57</v>
      </c>
    </row>
    <row r="53" spans="2:14" ht="16.5" customHeight="1" x14ac:dyDescent="0.2">
      <c r="B53" s="67"/>
      <c r="D53" s="65" t="s">
        <v>89</v>
      </c>
      <c r="E53" s="59">
        <v>0</v>
      </c>
      <c r="F53" s="231" t="s">
        <v>68</v>
      </c>
      <c r="G53" s="238">
        <f>100*I14</f>
        <v>3630800</v>
      </c>
      <c r="H53" s="240"/>
      <c r="I53" s="66">
        <f>+IF((E53&gt;G53),G53,E53)</f>
        <v>0</v>
      </c>
      <c r="J53" s="48" t="str">
        <f>+IF((I53&gt;1),"x","")</f>
        <v/>
      </c>
    </row>
    <row r="54" spans="2:14" ht="28.15" customHeight="1" x14ac:dyDescent="0.2">
      <c r="B54" s="67"/>
      <c r="D54" s="169" t="s">
        <v>90</v>
      </c>
      <c r="E54" s="59">
        <v>0</v>
      </c>
      <c r="F54" s="231" t="s">
        <v>26</v>
      </c>
      <c r="G54" s="238">
        <f>16*I14</f>
        <v>580928</v>
      </c>
      <c r="H54" s="240"/>
      <c r="I54" s="66">
        <f>+IF(E54&lt;(16*I14),E54,(16*I14))</f>
        <v>0</v>
      </c>
      <c r="J54" s="48" t="str">
        <f>+IF((I54&gt;1),"x","")</f>
        <v/>
      </c>
    </row>
    <row r="55" spans="2:14" ht="12" customHeight="1" x14ac:dyDescent="0.2">
      <c r="B55" s="67"/>
      <c r="D55" s="250" t="s">
        <v>77</v>
      </c>
      <c r="E55" s="252">
        <v>0</v>
      </c>
      <c r="F55" s="254" t="s">
        <v>123</v>
      </c>
      <c r="G55" s="238">
        <f>+E39*0.1</f>
        <v>0</v>
      </c>
      <c r="H55" s="241">
        <f>IF(E55&lt;G55,E55,G55)</f>
        <v>0</v>
      </c>
      <c r="I55" s="257">
        <f>+IF((H55&gt;H56),(H56),(H55))</f>
        <v>0</v>
      </c>
      <c r="J55" s="259" t="str">
        <f>+IF((I55&gt;1),"x","")</f>
        <v/>
      </c>
      <c r="K55" s="260"/>
      <c r="L55" s="260"/>
      <c r="M55" s="260"/>
      <c r="N55" s="260"/>
    </row>
    <row r="56" spans="2:14" ht="10.5" customHeight="1" x14ac:dyDescent="0.2">
      <c r="B56" s="67"/>
      <c r="D56" s="251"/>
      <c r="E56" s="253"/>
      <c r="F56" s="244"/>
      <c r="G56" s="241">
        <f>32*I14</f>
        <v>1161856</v>
      </c>
      <c r="H56" s="241">
        <f>IF(E55&lt;G56,E55,G56)</f>
        <v>0</v>
      </c>
      <c r="I56" s="258"/>
      <c r="J56" s="259"/>
      <c r="K56" s="260"/>
      <c r="L56" s="260"/>
      <c r="M56" s="260"/>
      <c r="N56" s="260"/>
    </row>
    <row r="57" spans="2:14" x14ac:dyDescent="0.2">
      <c r="B57" s="67"/>
      <c r="D57" s="92" t="s">
        <v>38</v>
      </c>
      <c r="E57" s="69" t="s">
        <v>57</v>
      </c>
      <c r="F57" s="232"/>
      <c r="G57" s="239"/>
      <c r="H57" s="239"/>
      <c r="I57" s="69">
        <f>SUM(I53:I56)</f>
        <v>0</v>
      </c>
      <c r="K57" s="48" t="s">
        <v>57</v>
      </c>
    </row>
    <row r="58" spans="2:14" x14ac:dyDescent="0.2">
      <c r="B58" s="67"/>
      <c r="C58" s="176"/>
      <c r="D58" s="176"/>
      <c r="E58" s="176"/>
      <c r="F58" s="176"/>
      <c r="G58" s="177"/>
      <c r="H58" s="177"/>
      <c r="I58" s="177"/>
    </row>
    <row r="59" spans="2:14" x14ac:dyDescent="0.2">
      <c r="B59" s="67"/>
      <c r="D59" s="74" t="s">
        <v>105</v>
      </c>
      <c r="E59" s="176"/>
      <c r="F59" s="242" t="s">
        <v>101</v>
      </c>
      <c r="G59" s="243">
        <f>(5040*I14)/12</f>
        <v>15249360</v>
      </c>
      <c r="H59" s="177"/>
      <c r="I59" s="69">
        <f>+IF(((E39-I48)*40%&gt;G59),G59,((E39-I48)*40%))</f>
        <v>0</v>
      </c>
    </row>
    <row r="60" spans="2:14" x14ac:dyDescent="0.2">
      <c r="B60" s="67"/>
      <c r="D60" s="74" t="s">
        <v>99</v>
      </c>
      <c r="E60" s="176"/>
      <c r="F60" s="176"/>
      <c r="G60" s="177"/>
      <c r="H60" s="177"/>
      <c r="I60" s="69">
        <f>+I57+I72+I78</f>
        <v>0</v>
      </c>
    </row>
    <row r="61" spans="2:14" ht="13.5" thickBot="1" x14ac:dyDescent="0.25">
      <c r="B61" s="67"/>
      <c r="D61" s="67"/>
      <c r="E61" s="67"/>
      <c r="F61" s="67"/>
      <c r="G61" s="67"/>
      <c r="H61" s="67"/>
      <c r="I61" s="67"/>
    </row>
    <row r="62" spans="2:14" ht="16.5" thickBot="1" x14ac:dyDescent="0.25">
      <c r="B62" s="63">
        <v>4</v>
      </c>
      <c r="D62" s="119" t="s">
        <v>74</v>
      </c>
      <c r="E62" s="67"/>
      <c r="F62" s="201"/>
      <c r="G62" s="201"/>
      <c r="H62" s="201"/>
      <c r="I62" s="201"/>
    </row>
    <row r="63" spans="2:14" ht="12.75" hidden="1" customHeight="1" x14ac:dyDescent="0.2">
      <c r="B63" s="67"/>
      <c r="D63" s="120" t="s">
        <v>80</v>
      </c>
      <c r="E63" s="87">
        <f>+E27</f>
        <v>0</v>
      </c>
      <c r="F63" s="244" t="s">
        <v>118</v>
      </c>
      <c r="G63" s="88"/>
      <c r="H63" s="200">
        <f>IF((E64+E65+E63)&lt;(E39*30%),(+E64+E65+E63),(E39*30%))</f>
        <v>0</v>
      </c>
      <c r="I63" s="246">
        <f>+IF(H64&lt;H63,H64,H63)</f>
        <v>0</v>
      </c>
    </row>
    <row r="64" spans="2:14" x14ac:dyDescent="0.2">
      <c r="B64" s="67"/>
      <c r="D64" s="65" t="s">
        <v>76</v>
      </c>
      <c r="E64" s="59"/>
      <c r="F64" s="245"/>
      <c r="G64" s="238"/>
      <c r="H64" s="237">
        <f>+I14*(3800/12)</f>
        <v>11497533.333333334</v>
      </c>
      <c r="I64" s="246"/>
    </row>
    <row r="65" spans="2:11" x14ac:dyDescent="0.2">
      <c r="B65" s="67"/>
      <c r="D65" s="65" t="s">
        <v>112</v>
      </c>
      <c r="E65" s="59">
        <v>0</v>
      </c>
      <c r="F65" s="245"/>
      <c r="G65" s="238"/>
      <c r="H65" s="241"/>
      <c r="I65" s="247"/>
    </row>
    <row r="66" spans="2:11" ht="12.75" customHeight="1" x14ac:dyDescent="0.2">
      <c r="D66" s="65" t="s">
        <v>110</v>
      </c>
      <c r="E66" s="59">
        <v>0</v>
      </c>
      <c r="F66" s="231"/>
      <c r="G66" s="238"/>
      <c r="H66" s="238"/>
      <c r="I66" s="90">
        <f t="shared" ref="I66:I71" si="1">+E66</f>
        <v>0</v>
      </c>
    </row>
    <row r="67" spans="2:11" ht="12.75" hidden="1" customHeight="1" x14ac:dyDescent="0.2">
      <c r="D67" s="65"/>
      <c r="E67" s="59">
        <v>0</v>
      </c>
      <c r="F67" s="231"/>
      <c r="G67" s="238"/>
      <c r="H67" s="238"/>
      <c r="I67" s="90">
        <f t="shared" si="1"/>
        <v>0</v>
      </c>
    </row>
    <row r="68" spans="2:11" ht="12.75" customHeight="1" x14ac:dyDescent="0.2">
      <c r="D68" s="65" t="s">
        <v>121</v>
      </c>
      <c r="E68" s="59">
        <v>0</v>
      </c>
      <c r="F68" s="231"/>
      <c r="G68" s="238"/>
      <c r="H68" s="238"/>
      <c r="I68" s="90">
        <f t="shared" si="1"/>
        <v>0</v>
      </c>
    </row>
    <row r="69" spans="2:11" x14ac:dyDescent="0.2">
      <c r="B69" s="67"/>
      <c r="D69" s="65" t="s">
        <v>119</v>
      </c>
      <c r="E69" s="59">
        <v>0</v>
      </c>
      <c r="F69" s="231"/>
      <c r="G69" s="238"/>
      <c r="H69" s="238"/>
      <c r="I69" s="90">
        <f t="shared" si="1"/>
        <v>0</v>
      </c>
    </row>
    <row r="70" spans="2:11" x14ac:dyDescent="0.2">
      <c r="B70" s="67"/>
      <c r="D70" s="65" t="s">
        <v>111</v>
      </c>
      <c r="E70" s="59">
        <v>0</v>
      </c>
      <c r="F70" s="231"/>
      <c r="G70" s="238"/>
      <c r="H70" s="238"/>
      <c r="I70" s="90">
        <f t="shared" si="1"/>
        <v>0</v>
      </c>
      <c r="K70" s="91"/>
    </row>
    <row r="71" spans="2:11" x14ac:dyDescent="0.2">
      <c r="B71" s="67"/>
      <c r="D71" s="65" t="s">
        <v>120</v>
      </c>
      <c r="E71" s="59">
        <v>0</v>
      </c>
      <c r="F71" s="231"/>
      <c r="G71" s="238"/>
      <c r="H71" s="238"/>
      <c r="I71" s="90">
        <f t="shared" si="1"/>
        <v>0</v>
      </c>
    </row>
    <row r="72" spans="2:11" x14ac:dyDescent="0.2">
      <c r="B72" s="67"/>
      <c r="D72" s="92" t="s">
        <v>98</v>
      </c>
      <c r="E72" s="69" t="s">
        <v>57</v>
      </c>
      <c r="F72" s="232"/>
      <c r="G72" s="239"/>
      <c r="H72" s="239"/>
      <c r="I72" s="69">
        <f>SUM(I63:I71)</f>
        <v>0</v>
      </c>
    </row>
    <row r="73" spans="2:11" x14ac:dyDescent="0.2">
      <c r="B73" s="67"/>
      <c r="I73" s="93"/>
    </row>
    <row r="74" spans="2:11" x14ac:dyDescent="0.2">
      <c r="B74" s="67"/>
      <c r="D74" s="74" t="s">
        <v>39</v>
      </c>
      <c r="E74" s="75"/>
      <c r="F74" s="75"/>
      <c r="G74" s="94"/>
      <c r="H74" s="77"/>
      <c r="I74" s="95">
        <f>+IF((I59&gt;(I57+I72)),(I50-I72-I57),(I50-I59))</f>
        <v>0</v>
      </c>
    </row>
    <row r="75" spans="2:11" x14ac:dyDescent="0.2">
      <c r="B75" s="67"/>
      <c r="D75" s="96" t="s">
        <v>109</v>
      </c>
      <c r="E75" s="96"/>
      <c r="F75" s="96"/>
      <c r="G75" s="97"/>
      <c r="H75" s="97"/>
      <c r="I75" s="78">
        <f>E34</f>
        <v>0</v>
      </c>
    </row>
    <row r="76" spans="2:11" x14ac:dyDescent="0.2">
      <c r="B76" s="67"/>
      <c r="D76" s="74" t="s">
        <v>39</v>
      </c>
      <c r="E76" s="75"/>
      <c r="F76" s="75"/>
      <c r="G76" s="94"/>
      <c r="H76" s="77"/>
      <c r="I76" s="78">
        <f>+I74</f>
        <v>0</v>
      </c>
    </row>
    <row r="77" spans="2:11" ht="13.5" thickBot="1" x14ac:dyDescent="0.25">
      <c r="B77" s="67"/>
      <c r="G77" s="49" t="s">
        <v>100</v>
      </c>
      <c r="I77" s="93"/>
    </row>
    <row r="78" spans="2:11" ht="14.25" customHeight="1" thickBot="1" x14ac:dyDescent="0.25">
      <c r="B78" s="63">
        <v>5</v>
      </c>
      <c r="D78" s="98" t="s">
        <v>78</v>
      </c>
      <c r="E78" s="99"/>
      <c r="F78" s="100" t="s">
        <v>2</v>
      </c>
      <c r="G78" s="101">
        <f>+I76</f>
        <v>0</v>
      </c>
      <c r="H78" s="101">
        <f>+I76*0.25</f>
        <v>0</v>
      </c>
      <c r="I78" s="102">
        <f>IF(H78&gt;(240*I14),(240*I14),H78)</f>
        <v>0</v>
      </c>
    </row>
    <row r="79" spans="2:11" x14ac:dyDescent="0.2">
      <c r="B79" s="67"/>
    </row>
    <row r="81" spans="1:13" ht="21" customHeight="1" x14ac:dyDescent="0.2">
      <c r="D81" s="74" t="s">
        <v>40</v>
      </c>
      <c r="E81" s="75"/>
      <c r="F81" s="76"/>
      <c r="G81" s="77"/>
      <c r="H81" s="77"/>
      <c r="I81" s="103">
        <f>+(I50)- (IF((I60&lt;I59),I60,I59))</f>
        <v>0</v>
      </c>
      <c r="J81" s="248">
        <f ca="1">+IF((D104=0),0,"Actualice versión")</f>
        <v>0</v>
      </c>
      <c r="K81" s="248"/>
      <c r="L81" s="248"/>
    </row>
    <row r="82" spans="1:13" ht="11.25" customHeight="1" x14ac:dyDescent="0.2">
      <c r="J82" s="248"/>
      <c r="K82" s="248"/>
      <c r="L82" s="248"/>
    </row>
    <row r="83" spans="1:13" ht="3" customHeight="1" x14ac:dyDescent="0.2">
      <c r="I83" s="104"/>
      <c r="J83" s="248"/>
      <c r="K83" s="248"/>
      <c r="L83" s="248"/>
    </row>
    <row r="84" spans="1:13" ht="2.25" customHeight="1" x14ac:dyDescent="0.2">
      <c r="I84" s="105"/>
    </row>
    <row r="85" spans="1:13" ht="15" x14ac:dyDescent="0.25">
      <c r="D85" s="121" t="s">
        <v>82</v>
      </c>
      <c r="E85" s="106"/>
      <c r="F85" s="107"/>
      <c r="G85" s="108"/>
      <c r="H85" s="108"/>
      <c r="I85" s="109">
        <f>ROUND((TABLA!H18*I14),-3)</f>
        <v>0</v>
      </c>
      <c r="J85" s="161">
        <f>+IF((I85&gt;0),(I85/$E$39),0)</f>
        <v>0</v>
      </c>
    </row>
    <row r="86" spans="1:13" ht="15" x14ac:dyDescent="0.25">
      <c r="D86" s="98" t="s">
        <v>83</v>
      </c>
      <c r="E86" s="110"/>
      <c r="F86" s="107"/>
      <c r="G86" s="108"/>
      <c r="H86" s="108"/>
      <c r="I86" s="109">
        <f>+ROUND((Tabprima!H18*I14),-3)</f>
        <v>0</v>
      </c>
      <c r="J86" s="161">
        <f>+IF((I86&gt;0),(I86/$E$34),0)</f>
        <v>0</v>
      </c>
    </row>
    <row r="87" spans="1:13" ht="15" x14ac:dyDescent="0.25">
      <c r="A87" s="111">
        <v>44630</v>
      </c>
      <c r="D87" s="122" t="s">
        <v>86</v>
      </c>
      <c r="E87" s="112"/>
      <c r="F87" s="107"/>
      <c r="G87" s="108"/>
      <c r="H87" s="108"/>
      <c r="I87" s="109">
        <f>SUM(I85:I86)</f>
        <v>0</v>
      </c>
      <c r="J87" s="161" t="s">
        <v>57</v>
      </c>
    </row>
    <row r="88" spans="1:13" x14ac:dyDescent="0.2">
      <c r="D88" s="113"/>
    </row>
    <row r="89" spans="1:13" ht="15" customHeight="1" x14ac:dyDescent="0.2">
      <c r="E89" s="42"/>
      <c r="F89" s="42"/>
      <c r="G89" s="42"/>
      <c r="H89" s="42"/>
      <c r="I89" s="42"/>
      <c r="J89" s="42"/>
    </row>
    <row r="90" spans="1:13" s="80" customFormat="1" ht="15" customHeight="1" x14ac:dyDescent="0.25">
      <c r="D90" s="205" t="s">
        <v>124</v>
      </c>
      <c r="E90" s="114"/>
      <c r="F90" s="107"/>
      <c r="G90" s="108"/>
      <c r="H90" s="108"/>
      <c r="I90" s="115"/>
      <c r="J90" s="84"/>
      <c r="K90" s="84"/>
      <c r="L90" s="84"/>
      <c r="M90" s="84"/>
    </row>
    <row r="91" spans="1:13" ht="15" customHeight="1" x14ac:dyDescent="0.2">
      <c r="D91" s="209" t="s">
        <v>127</v>
      </c>
      <c r="E91" s="42"/>
      <c r="F91" s="42"/>
      <c r="G91" s="42"/>
      <c r="H91" s="42"/>
      <c r="I91" s="42"/>
      <c r="J91" s="42"/>
    </row>
    <row r="92" spans="1:13" ht="12.75" customHeight="1" x14ac:dyDescent="0.2">
      <c r="D92" s="205" t="s">
        <v>125</v>
      </c>
      <c r="E92" s="46"/>
    </row>
    <row r="93" spans="1:13" ht="15" customHeight="1" x14ac:dyDescent="0.2">
      <c r="D93" s="205" t="s">
        <v>126</v>
      </c>
      <c r="E93" s="46"/>
    </row>
    <row r="94" spans="1:13" x14ac:dyDescent="0.2">
      <c r="D94" s="45"/>
      <c r="E94" s="46"/>
    </row>
    <row r="95" spans="1:13" s="116" customFormat="1" x14ac:dyDescent="0.2">
      <c r="D95" s="45"/>
      <c r="E95" s="46"/>
      <c r="F95" s="49"/>
      <c r="G95" s="49"/>
      <c r="H95" s="49"/>
      <c r="I95" s="49"/>
      <c r="J95" s="49"/>
      <c r="K95" s="49"/>
      <c r="L95" s="49"/>
      <c r="M95" s="49"/>
    </row>
    <row r="96" spans="1:13" s="116" customFormat="1" x14ac:dyDescent="0.2">
      <c r="B96" s="117"/>
      <c r="D96" s="45"/>
      <c r="E96" s="46"/>
      <c r="F96" s="49"/>
      <c r="G96" s="49"/>
      <c r="H96" s="49"/>
      <c r="I96" s="49"/>
      <c r="J96" s="49"/>
      <c r="K96" s="49"/>
      <c r="L96" s="49"/>
      <c r="M96" s="49"/>
    </row>
    <row r="97" spans="2:13" s="116" customFormat="1" x14ac:dyDescent="0.2">
      <c r="B97" s="117"/>
      <c r="D97" s="45"/>
      <c r="E97" s="46"/>
      <c r="F97" s="49"/>
      <c r="G97" s="49"/>
      <c r="H97" s="49"/>
      <c r="I97" s="49"/>
      <c r="J97" s="49"/>
      <c r="K97" s="49"/>
      <c r="L97" s="49"/>
      <c r="M97" s="49"/>
    </row>
    <row r="98" spans="2:13" s="116" customFormat="1" x14ac:dyDescent="0.2">
      <c r="D98" s="47" t="s">
        <v>24</v>
      </c>
      <c r="E98" s="46"/>
      <c r="F98" s="49"/>
      <c r="G98" s="49"/>
      <c r="H98" s="49"/>
      <c r="I98" s="49"/>
      <c r="J98" s="49"/>
      <c r="K98" s="49"/>
      <c r="L98" s="49"/>
      <c r="M98" s="49"/>
    </row>
    <row r="99" spans="2:13" s="116" customFormat="1" x14ac:dyDescent="0.2">
      <c r="D99" s="174" t="s">
        <v>149</v>
      </c>
      <c r="E99" s="49"/>
      <c r="F99" s="49"/>
      <c r="G99" s="49"/>
      <c r="H99" s="49"/>
      <c r="I99" s="49"/>
      <c r="J99" s="49"/>
      <c r="K99" s="49"/>
      <c r="L99" s="49"/>
      <c r="M99" s="49"/>
    </row>
    <row r="100" spans="2:13" s="116" customFormat="1" x14ac:dyDescent="0.2">
      <c r="E100" s="49"/>
      <c r="F100" s="49"/>
      <c r="G100" s="49"/>
      <c r="H100" s="49"/>
      <c r="I100" s="49"/>
      <c r="J100" s="49"/>
      <c r="K100" s="49"/>
      <c r="L100" s="49"/>
      <c r="M100" s="49"/>
    </row>
    <row r="101" spans="2:13" s="116" customFormat="1" x14ac:dyDescent="0.2">
      <c r="D101" s="206"/>
      <c r="E101" s="49"/>
      <c r="F101" s="49"/>
      <c r="G101" s="49"/>
      <c r="H101" s="49"/>
      <c r="I101" s="49"/>
      <c r="J101" s="49"/>
      <c r="K101" s="49"/>
      <c r="L101" s="49"/>
      <c r="M101" s="49"/>
    </row>
    <row r="102" spans="2:13" s="116" customFormat="1" hidden="1" x14ac:dyDescent="0.2">
      <c r="D102" s="234">
        <f ca="1">+TODAY( )</f>
        <v>44238</v>
      </c>
      <c r="E102" s="49"/>
      <c r="F102" s="49"/>
      <c r="G102" s="49"/>
      <c r="H102" s="49"/>
      <c r="I102" s="49"/>
      <c r="J102" s="49"/>
      <c r="K102" s="49"/>
      <c r="L102" s="49"/>
      <c r="M102" s="49"/>
    </row>
    <row r="103" spans="2:13" s="116" customFormat="1" hidden="1" x14ac:dyDescent="0.2">
      <c r="D103" s="234">
        <v>44576</v>
      </c>
      <c r="E103" s="49"/>
      <c r="F103" s="49"/>
      <c r="G103" s="49"/>
      <c r="H103" s="49"/>
      <c r="I103" s="49"/>
      <c r="J103" s="49"/>
      <c r="K103" s="49"/>
      <c r="L103" s="49"/>
      <c r="M103" s="49"/>
    </row>
    <row r="104" spans="2:13" s="116" customFormat="1" hidden="1" x14ac:dyDescent="0.2">
      <c r="D104" s="235">
        <f ca="1">IF(D102&gt;D103,1,0)</f>
        <v>0</v>
      </c>
      <c r="E104" s="49"/>
      <c r="F104" s="49"/>
      <c r="G104" s="49"/>
      <c r="H104" s="49"/>
      <c r="I104" s="49"/>
      <c r="J104" s="49"/>
      <c r="K104" s="49"/>
      <c r="L104" s="49"/>
      <c r="M104" s="49"/>
    </row>
    <row r="105" spans="2:13" s="116" customFormat="1" x14ac:dyDescent="0.2">
      <c r="D105" s="206"/>
      <c r="E105" s="49"/>
      <c r="F105" s="49"/>
      <c r="G105" s="49"/>
      <c r="H105" s="49"/>
      <c r="I105" s="49"/>
      <c r="J105" s="49"/>
      <c r="K105" s="49"/>
      <c r="L105" s="49"/>
      <c r="M105" s="49"/>
    </row>
    <row r="106" spans="2:13" s="116" customFormat="1" x14ac:dyDescent="0.2">
      <c r="B106" s="42"/>
      <c r="C106" s="42"/>
      <c r="E106" s="49"/>
      <c r="F106" s="49"/>
      <c r="G106" s="49"/>
      <c r="H106" s="49"/>
      <c r="I106" s="49"/>
      <c r="J106" s="49"/>
      <c r="K106" s="49"/>
      <c r="L106" s="49"/>
      <c r="M106" s="49"/>
    </row>
    <row r="107" spans="2:13" s="116" customFormat="1" x14ac:dyDescent="0.2">
      <c r="B107" s="207" t="s">
        <v>137</v>
      </c>
      <c r="C107" s="118"/>
      <c r="E107" s="49"/>
      <c r="F107" s="49"/>
      <c r="G107" s="49"/>
      <c r="H107" s="49"/>
      <c r="I107" s="49"/>
      <c r="J107" s="49"/>
      <c r="K107" s="49"/>
      <c r="L107" s="49"/>
      <c r="M107" s="49"/>
    </row>
    <row r="108" spans="2:13" s="116" customFormat="1" x14ac:dyDescent="0.2">
      <c r="B108" s="207" t="s">
        <v>138</v>
      </c>
      <c r="C108" s="118"/>
      <c r="D108" s="42"/>
      <c r="E108" s="49"/>
      <c r="F108" s="49"/>
      <c r="G108" s="49"/>
      <c r="H108" s="49"/>
      <c r="I108" s="49"/>
      <c r="J108" s="49"/>
      <c r="K108" s="49"/>
      <c r="L108" s="49"/>
      <c r="M108" s="49"/>
    </row>
    <row r="109" spans="2:13" s="116" customFormat="1" x14ac:dyDescent="0.2">
      <c r="B109" s="207" t="s">
        <v>139</v>
      </c>
      <c r="C109" s="118"/>
      <c r="D109" s="42"/>
      <c r="E109" s="49"/>
      <c r="F109" s="49"/>
      <c r="G109" s="49"/>
      <c r="H109" s="49"/>
      <c r="I109" s="49"/>
      <c r="J109" s="49"/>
      <c r="K109" s="49"/>
      <c r="L109" s="49"/>
      <c r="M109" s="49"/>
    </row>
    <row r="110" spans="2:13" s="116" customFormat="1" x14ac:dyDescent="0.2">
      <c r="B110" s="207" t="s">
        <v>140</v>
      </c>
      <c r="C110" s="118"/>
      <c r="D110" s="42"/>
      <c r="E110" s="49"/>
      <c r="F110" s="49"/>
      <c r="G110" s="49"/>
      <c r="H110" s="49"/>
      <c r="I110" s="49"/>
      <c r="J110" s="49"/>
      <c r="K110" s="49"/>
      <c r="L110" s="49"/>
      <c r="M110" s="49"/>
    </row>
    <row r="111" spans="2:13" s="116" customFormat="1" x14ac:dyDescent="0.2">
      <c r="B111" s="207" t="s">
        <v>141</v>
      </c>
      <c r="C111" s="118"/>
      <c r="D111" s="42"/>
      <c r="E111" s="49"/>
      <c r="F111" s="49"/>
      <c r="G111" s="49"/>
      <c r="H111" s="49"/>
      <c r="I111" s="49"/>
      <c r="J111" s="49"/>
      <c r="K111" s="49"/>
      <c r="L111" s="49"/>
      <c r="M111" s="49"/>
    </row>
    <row r="112" spans="2:13" s="116" customFormat="1" x14ac:dyDescent="0.2">
      <c r="B112" s="207" t="s">
        <v>142</v>
      </c>
      <c r="C112" s="118"/>
      <c r="D112" s="42"/>
      <c r="E112" s="49"/>
      <c r="F112" s="49"/>
      <c r="G112" s="49"/>
      <c r="H112" s="49"/>
      <c r="I112" s="49"/>
      <c r="J112" s="49"/>
      <c r="K112" s="49"/>
      <c r="L112" s="49"/>
      <c r="M112" s="49"/>
    </row>
    <row r="113" spans="2:13" s="116" customFormat="1" x14ac:dyDescent="0.2">
      <c r="B113" s="207" t="s">
        <v>143</v>
      </c>
      <c r="C113" s="118"/>
      <c r="D113" s="42"/>
      <c r="E113" s="49"/>
      <c r="F113" s="49"/>
      <c r="G113" s="49"/>
      <c r="H113" s="49"/>
      <c r="I113" s="49"/>
      <c r="J113" s="49"/>
      <c r="K113" s="49"/>
      <c r="L113" s="49"/>
      <c r="M113" s="49"/>
    </row>
    <row r="114" spans="2:13" s="116" customFormat="1" x14ac:dyDescent="0.2">
      <c r="B114" s="207" t="s">
        <v>144</v>
      </c>
      <c r="C114" s="118"/>
      <c r="D114" s="42"/>
      <c r="E114" s="49"/>
      <c r="F114" s="49"/>
      <c r="G114" s="49"/>
      <c r="H114" s="49"/>
      <c r="I114" s="49"/>
      <c r="J114" s="49"/>
      <c r="K114" s="49"/>
      <c r="L114" s="49"/>
      <c r="M114" s="49"/>
    </row>
    <row r="115" spans="2:13" s="116" customFormat="1" x14ac:dyDescent="0.2">
      <c r="B115" s="207" t="s">
        <v>145</v>
      </c>
      <c r="C115" s="118"/>
      <c r="D115" s="42"/>
      <c r="E115" s="49"/>
      <c r="F115" s="49"/>
      <c r="G115" s="49"/>
      <c r="H115" s="49"/>
      <c r="I115" s="49"/>
      <c r="J115" s="49"/>
      <c r="K115" s="49"/>
      <c r="L115" s="49"/>
      <c r="M115" s="49"/>
    </row>
    <row r="116" spans="2:13" s="116" customFormat="1" x14ac:dyDescent="0.2">
      <c r="B116" s="207" t="s">
        <v>146</v>
      </c>
      <c r="C116" s="118"/>
      <c r="D116" s="42"/>
      <c r="E116" s="49"/>
      <c r="F116" s="49"/>
      <c r="G116" s="49"/>
      <c r="H116" s="49"/>
      <c r="I116" s="49"/>
      <c r="J116" s="49"/>
      <c r="K116" s="49"/>
      <c r="L116" s="49"/>
      <c r="M116" s="49"/>
    </row>
    <row r="117" spans="2:13" s="116" customFormat="1" x14ac:dyDescent="0.2">
      <c r="B117" s="207" t="s">
        <v>148</v>
      </c>
      <c r="C117" s="118"/>
      <c r="D117" s="42"/>
      <c r="E117" s="49"/>
      <c r="F117" s="49"/>
      <c r="G117" s="49"/>
      <c r="H117" s="49"/>
      <c r="I117" s="49"/>
      <c r="J117" s="49"/>
      <c r="K117" s="49"/>
      <c r="L117" s="49"/>
      <c r="M117" s="49"/>
    </row>
    <row r="118" spans="2:13" s="116" customFormat="1" x14ac:dyDescent="0.2">
      <c r="B118" s="207" t="s">
        <v>147</v>
      </c>
      <c r="C118" s="118"/>
      <c r="D118" s="42"/>
      <c r="E118" s="49"/>
      <c r="F118" s="49"/>
      <c r="G118" s="49"/>
      <c r="H118" s="49"/>
      <c r="I118" s="49"/>
      <c r="J118" s="49"/>
      <c r="K118" s="49"/>
      <c r="L118" s="49"/>
      <c r="M118" s="49"/>
    </row>
    <row r="119" spans="2:13" s="116" customFormat="1" x14ac:dyDescent="0.2">
      <c r="B119" s="80"/>
      <c r="C119" s="42"/>
      <c r="D119" s="42"/>
      <c r="E119" s="49"/>
      <c r="F119" s="49"/>
      <c r="G119" s="49"/>
      <c r="H119" s="49"/>
      <c r="I119" s="49"/>
      <c r="J119" s="49"/>
      <c r="K119" s="49"/>
      <c r="L119" s="49"/>
      <c r="M119" s="49"/>
    </row>
    <row r="120" spans="2:13" s="116" customFormat="1" x14ac:dyDescent="0.2">
      <c r="B120" s="208"/>
      <c r="E120" s="49"/>
      <c r="F120" s="49"/>
      <c r="G120" s="49"/>
      <c r="H120" s="49"/>
      <c r="I120" s="49"/>
      <c r="J120" s="49"/>
      <c r="K120" s="49"/>
      <c r="L120" s="49"/>
      <c r="M120" s="49"/>
    </row>
    <row r="121" spans="2:13" s="116" customFormat="1" x14ac:dyDescent="0.2">
      <c r="B121" s="208"/>
      <c r="E121" s="49"/>
      <c r="F121" s="49"/>
      <c r="G121" s="49"/>
      <c r="H121" s="49"/>
      <c r="I121" s="49"/>
      <c r="J121" s="49"/>
      <c r="K121" s="49"/>
      <c r="L121" s="49"/>
      <c r="M121" s="49"/>
    </row>
    <row r="122" spans="2:13" s="116" customFormat="1" x14ac:dyDescent="0.2">
      <c r="E122" s="49"/>
      <c r="F122" s="49"/>
      <c r="G122" s="49"/>
      <c r="H122" s="49"/>
      <c r="I122" s="49"/>
      <c r="J122" s="49"/>
      <c r="K122" s="49"/>
      <c r="L122" s="49"/>
      <c r="M122" s="49"/>
    </row>
    <row r="123" spans="2:13" s="116" customFormat="1" x14ac:dyDescent="0.2">
      <c r="E123" s="49"/>
      <c r="F123" s="49"/>
      <c r="G123" s="49"/>
      <c r="H123" s="49"/>
      <c r="I123" s="49"/>
      <c r="J123" s="49"/>
      <c r="K123" s="49"/>
      <c r="L123" s="49"/>
      <c r="M123" s="49"/>
    </row>
    <row r="124" spans="2:13" s="116" customFormat="1" x14ac:dyDescent="0.2">
      <c r="E124" s="49"/>
      <c r="F124" s="49"/>
      <c r="G124" s="49"/>
      <c r="H124" s="49"/>
      <c r="I124" s="49"/>
      <c r="J124" s="49"/>
      <c r="K124" s="49"/>
      <c r="L124" s="49"/>
      <c r="M124" s="49"/>
    </row>
    <row r="125" spans="2:13" s="116" customFormat="1" x14ac:dyDescent="0.2">
      <c r="E125" s="49"/>
      <c r="F125" s="49"/>
      <c r="G125" s="49"/>
      <c r="H125" s="49"/>
      <c r="I125" s="49"/>
      <c r="J125" s="49"/>
      <c r="K125" s="49"/>
      <c r="L125" s="49"/>
      <c r="M125" s="49"/>
    </row>
    <row r="126" spans="2:13" s="116" customFormat="1" x14ac:dyDescent="0.2">
      <c r="E126" s="49"/>
      <c r="F126" s="49"/>
      <c r="G126" s="49"/>
      <c r="H126" s="49"/>
      <c r="I126" s="49"/>
      <c r="J126" s="49"/>
      <c r="K126" s="49"/>
      <c r="L126" s="49"/>
      <c r="M126" s="49"/>
    </row>
    <row r="127" spans="2:13" s="116" customFormat="1" x14ac:dyDescent="0.2">
      <c r="E127" s="49"/>
      <c r="F127" s="49"/>
      <c r="G127" s="49"/>
      <c r="H127" s="49"/>
      <c r="I127" s="49"/>
      <c r="J127" s="49"/>
      <c r="K127" s="49"/>
      <c r="L127" s="49"/>
      <c r="M127" s="49"/>
    </row>
    <row r="128" spans="2:13" s="116" customFormat="1" x14ac:dyDescent="0.2">
      <c r="E128" s="49"/>
      <c r="F128" s="49"/>
      <c r="G128" s="49"/>
      <c r="H128" s="49"/>
      <c r="I128" s="49"/>
      <c r="J128" s="49"/>
      <c r="K128" s="49"/>
      <c r="L128" s="49"/>
      <c r="M128" s="49"/>
    </row>
    <row r="129" spans="5:13" s="116" customFormat="1" x14ac:dyDescent="0.2">
      <c r="E129" s="49"/>
      <c r="F129" s="49"/>
      <c r="G129" s="49"/>
      <c r="H129" s="49"/>
      <c r="I129" s="49"/>
      <c r="J129" s="49"/>
      <c r="K129" s="49"/>
      <c r="L129" s="49"/>
      <c r="M129" s="49"/>
    </row>
    <row r="130" spans="5:13" s="116" customFormat="1" x14ac:dyDescent="0.2">
      <c r="E130" s="49"/>
      <c r="F130" s="49"/>
      <c r="G130" s="49"/>
      <c r="H130" s="49"/>
      <c r="I130" s="49"/>
      <c r="J130" s="49"/>
      <c r="K130" s="49"/>
      <c r="L130" s="49"/>
      <c r="M130" s="49"/>
    </row>
    <row r="131" spans="5:13" s="116" customFormat="1" x14ac:dyDescent="0.2">
      <c r="E131" s="49"/>
      <c r="F131" s="49"/>
      <c r="G131" s="49"/>
      <c r="H131" s="49"/>
      <c r="I131" s="49"/>
      <c r="J131" s="49"/>
      <c r="K131" s="49"/>
      <c r="L131" s="49"/>
      <c r="M131" s="49"/>
    </row>
    <row r="132" spans="5:13" s="116" customFormat="1" x14ac:dyDescent="0.2">
      <c r="E132" s="49"/>
      <c r="F132" s="49"/>
      <c r="G132" s="49"/>
      <c r="H132" s="49"/>
      <c r="I132" s="49"/>
      <c r="J132" s="49"/>
      <c r="K132" s="49"/>
      <c r="L132" s="49"/>
      <c r="M132" s="49"/>
    </row>
    <row r="133" spans="5:13" s="116" customFormat="1" x14ac:dyDescent="0.2">
      <c r="E133" s="49"/>
      <c r="F133" s="49"/>
      <c r="G133" s="49"/>
      <c r="H133" s="49"/>
      <c r="I133" s="49"/>
      <c r="J133" s="49"/>
      <c r="K133" s="49"/>
      <c r="L133" s="49"/>
      <c r="M133" s="49"/>
    </row>
    <row r="134" spans="5:13" s="116" customFormat="1" x14ac:dyDescent="0.2">
      <c r="E134" s="49"/>
      <c r="F134" s="49"/>
      <c r="G134" s="49"/>
      <c r="H134" s="49"/>
      <c r="I134" s="49"/>
      <c r="J134" s="49"/>
      <c r="K134" s="49"/>
      <c r="L134" s="49"/>
      <c r="M134" s="49"/>
    </row>
    <row r="135" spans="5:13" s="116" customFormat="1" x14ac:dyDescent="0.2">
      <c r="E135" s="49"/>
      <c r="F135" s="49"/>
      <c r="G135" s="49"/>
      <c r="H135" s="49"/>
      <c r="I135" s="49"/>
      <c r="J135" s="49"/>
      <c r="K135" s="49"/>
      <c r="L135" s="49"/>
      <c r="M135" s="49"/>
    </row>
    <row r="278" spans="4:4" x14ac:dyDescent="0.2">
      <c r="D278" s="57">
        <f ca="1">TODAY()</f>
        <v>44238</v>
      </c>
    </row>
    <row r="279" spans="4:4" x14ac:dyDescent="0.2">
      <c r="D279" s="57">
        <f>+A87</f>
        <v>44630</v>
      </c>
    </row>
    <row r="280" spans="4:4" x14ac:dyDescent="0.2">
      <c r="D280" s="42" t="str">
        <f ca="1">IF(D279&lt;D278,1,"")</f>
        <v/>
      </c>
    </row>
  </sheetData>
  <sheetProtection algorithmName="SHA-512" hashValue="9QzX1F9QarZlC5fVcbOORNfWDBfYL8898r0nbOUg3M7xJ/m0KskAEElPk7FTaNcdlkXmRhvdwyC8v3KYMwAKVg==" saltValue="7cc2YN9W2y1TU6BfkUN1yQ==" spinCount="100000" sheet="1" objects="1" scenarios="1"/>
  <mergeCells count="10">
    <mergeCell ref="F63:F65"/>
    <mergeCell ref="I63:I65"/>
    <mergeCell ref="J81:L83"/>
    <mergeCell ref="K8:N13"/>
    <mergeCell ref="D55:D56"/>
    <mergeCell ref="E55:E56"/>
    <mergeCell ref="F55:F56"/>
    <mergeCell ref="G17:H17"/>
    <mergeCell ref="I55:I56"/>
    <mergeCell ref="J55:N56"/>
  </mergeCells>
  <phoneticPr fontId="2" type="noConversion"/>
  <dataValidations disablePrompts="1" xWindow="1180" yWindow="332" count="9">
    <dataValidation allowBlank="1" showInputMessage="1" showErrorMessage="1" prompt="Recuerde que estos pagos que efectue el empleador por concepto de alimentación  del trabajador  o de su conyugue co compañero (a) permanente, sus hijos o su padres son ingresos no constitutivos de renta" sqref="E48"/>
    <dataValidation type="date" allowBlank="1" showInputMessage="1" showErrorMessage="1" sqref="E92:E98">
      <formula1>36526</formula1>
      <formula2>66111</formula2>
    </dataValidation>
    <dataValidation allowBlank="1" showInputMessage="1" showErrorMessage="1" prompt="Digite la totalidad de los ingresos recibidos en el año anterior" sqref="I9"/>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0:E37"/>
    <dataValidation type="list" allowBlank="1" showInputMessage="1" showErrorMessage="1" prompt="Seleccione  el mes del cálculo" sqref="I11">
      <formula1>$B$107:$B$118</formula1>
    </dataValidation>
    <dataValidation type="whole" allowBlank="1" showInputMessage="1" showErrorMessage="1" sqref="E53:E54">
      <formula1>0</formula1>
      <formula2>350000000</formula2>
    </dataValidation>
    <dataValidation allowBlank="1" showInputMessage="1" showErrorMessage="1" errorTitle="Aportes superiores" error="El aporte no puede ser superior al 4% de los ingresos del trabajador" promptTitle="Aporte superior" prompt="El aporte no puede ser superior al 4% de los ingresos del trabajador" sqref="E47"/>
    <dataValidation allowBlank="1" showInputMessage="1" showErrorMessage="1" prompt="Digite el valor limitado al 50% del salario" sqref="E68"/>
    <dataValidation allowBlank="1" showInputMessage="1" showErrorMessage="1" prompt="Si tiene tiene derecho a deducción por dependientes, digite un valor superior a 2 millones de pesos,  el aplicativo realizá y calculará el valor a deducir." sqref="E55:E56"/>
  </dataValidations>
  <hyperlinks>
    <hyperlink ref="D98" r:id="rId1"/>
    <hyperlink ref="D99" r:id="rId2" display="http://www.consultorcontable.com/retenci%C3%B3n-salarios/"/>
    <hyperlink ref="D91" r:id="rId3"/>
  </hyperlinks>
  <pageMargins left="0.19685039370078741" right="0.19685039370078741" top="0.39370078740157483" bottom="0.39370078740157483" header="0" footer="0"/>
  <pageSetup scale="65" orientation="landscape" r:id="rId4"/>
  <headerFooter alignWithMargins="0"/>
  <drawing r:id="rId5"/>
  <legacyDrawing r:id="rId6"/>
  <controls>
    <mc:AlternateContent xmlns:mc="http://schemas.openxmlformats.org/markup-compatibility/2006">
      <mc:Choice Requires="x14">
        <control shapeId="1047" r:id="rId7" name="CommandButton9">
          <controlPr defaultSize="0" print="0" autoLine="0" r:id="rId8">
            <anchor moveWithCells="1">
              <from>
                <xdr:col>0</xdr:col>
                <xdr:colOff>85725</xdr:colOff>
                <xdr:row>69</xdr:row>
                <xdr:rowOff>66675</xdr:rowOff>
              </from>
              <to>
                <xdr:col>2</xdr:col>
                <xdr:colOff>0</xdr:colOff>
                <xdr:row>71</xdr:row>
                <xdr:rowOff>0</xdr:rowOff>
              </to>
            </anchor>
          </controlPr>
        </control>
      </mc:Choice>
      <mc:Fallback>
        <control shapeId="1047" r:id="rId7" name="CommandButton9"/>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B1:G111"/>
  <sheetViews>
    <sheetView showGridLines="0" zoomScaleNormal="100" workbookViewId="0"/>
  </sheetViews>
  <sheetFormatPr baseColWidth="10" defaultColWidth="0" defaultRowHeight="12.75" zeroHeight="1" x14ac:dyDescent="0.2"/>
  <cols>
    <col min="1" max="1" width="1.5703125" style="124" customWidth="1"/>
    <col min="2" max="2" width="4" style="124" customWidth="1"/>
    <col min="3" max="3" width="1.5703125" style="124" customWidth="1"/>
    <col min="4" max="4" width="76.5703125" style="124" customWidth="1"/>
    <col min="5" max="5" width="16.28515625" style="125" customWidth="1"/>
    <col min="6" max="6" width="21.42578125" style="125" customWidth="1"/>
    <col min="7" max="7" width="13" style="125" bestFit="1" customWidth="1"/>
    <col min="8" max="16384" width="0" style="124" hidden="1"/>
  </cols>
  <sheetData>
    <row r="1" spans="2:6" ht="5.25" customHeight="1" x14ac:dyDescent="0.2"/>
    <row r="2" spans="2:6" ht="8.25" customHeight="1" x14ac:dyDescent="0.2"/>
    <row r="3" spans="2:6" ht="16.5" customHeight="1" x14ac:dyDescent="0.25">
      <c r="D3" s="126" t="str">
        <f>+PROC1!E3</f>
        <v>Retención aplicable para el año 2021</v>
      </c>
      <c r="E3" s="124"/>
      <c r="F3" s="127"/>
    </row>
    <row r="4" spans="2:6" ht="6.75" customHeight="1" x14ac:dyDescent="0.3">
      <c r="D4" s="128"/>
      <c r="E4" s="129"/>
      <c r="F4" s="129"/>
    </row>
    <row r="5" spans="2:6" ht="18" x14ac:dyDescent="0.25">
      <c r="B5" s="130" t="str">
        <f>+PROC1!E5</f>
        <v>Procedimiento No. 1</v>
      </c>
      <c r="C5" s="131"/>
      <c r="D5" s="131"/>
      <c r="E5" s="124"/>
      <c r="F5" s="132"/>
    </row>
    <row r="6" spans="2:6" x14ac:dyDescent="0.2">
      <c r="E6" s="124"/>
      <c r="F6" s="133"/>
    </row>
    <row r="7" spans="2:6" x14ac:dyDescent="0.2">
      <c r="D7" s="124" t="s">
        <v>25</v>
      </c>
    </row>
    <row r="8" spans="2:6" x14ac:dyDescent="0.2">
      <c r="D8" s="134" t="str">
        <f>+PROC1!D11</f>
        <v>Digite el nombre de la empresa</v>
      </c>
      <c r="E8" s="135" t="str">
        <f>+PROC1!E11</f>
        <v>Mes</v>
      </c>
      <c r="F8" s="136" t="str">
        <f>+PROC1!I11</f>
        <v>Enero de 2021</v>
      </c>
    </row>
    <row r="9" spans="2:6" ht="14.25" x14ac:dyDescent="0.2">
      <c r="D9" s="173" t="str">
        <f>+PROC1!D12</f>
        <v>Digite nombre del trabajador</v>
      </c>
    </row>
    <row r="10" spans="2:6" ht="14.25" x14ac:dyDescent="0.2">
      <c r="D10" s="173" t="str">
        <f>+PROC1!D13</f>
        <v xml:space="preserve">CC. </v>
      </c>
      <c r="E10" s="137" t="str">
        <f>+PROC1!E13</f>
        <v>UVT</v>
      </c>
      <c r="F10" s="135" t="str">
        <f>+PROC1!I13</f>
        <v xml:space="preserve">Valor UVT </v>
      </c>
    </row>
    <row r="11" spans="2:6" x14ac:dyDescent="0.2">
      <c r="D11" s="138">
        <f>+PROC1!D14</f>
        <v>0</v>
      </c>
      <c r="E11" s="139" t="str">
        <f>+PROC1!E14</f>
        <v>Año 2021</v>
      </c>
      <c r="F11" s="136">
        <f>+PROC1!I14</f>
        <v>36308</v>
      </c>
    </row>
    <row r="12" spans="2:6" x14ac:dyDescent="0.2">
      <c r="E12" s="139" t="str">
        <f>+PROC1!E15</f>
        <v>Año 2020</v>
      </c>
      <c r="F12" s="136">
        <f>+PROC1!I15</f>
        <v>35607</v>
      </c>
    </row>
    <row r="13" spans="2:6" x14ac:dyDescent="0.2">
      <c r="D13" s="140" t="s">
        <v>70</v>
      </c>
    </row>
    <row r="14" spans="2:6" ht="15.75" thickBot="1" x14ac:dyDescent="0.3">
      <c r="D14" s="166" t="str">
        <f>+PROC1!D17</f>
        <v>Conceptos</v>
      </c>
      <c r="E14" s="168" t="str">
        <f>+PROC1!E17</f>
        <v>Datos</v>
      </c>
      <c r="F14" s="167" t="str">
        <f>+PROC1!I17</f>
        <v>Depuración</v>
      </c>
    </row>
    <row r="15" spans="2:6" ht="16.5" thickBot="1" x14ac:dyDescent="0.3">
      <c r="B15" s="141">
        <v>1</v>
      </c>
      <c r="C15" s="142"/>
      <c r="D15" s="143" t="str">
        <f>+PROC1!D19</f>
        <v>Total pagos laborales en el mes</v>
      </c>
    </row>
    <row r="16" spans="2:6" x14ac:dyDescent="0.2">
      <c r="D16" s="144" t="str">
        <f>+PROC1!D20</f>
        <v>Sueldo</v>
      </c>
      <c r="E16" s="145">
        <f>+PROC1!E20</f>
        <v>0</v>
      </c>
      <c r="F16" s="145">
        <f>+PROC1!I20</f>
        <v>0</v>
      </c>
    </row>
    <row r="17" spans="4:6" x14ac:dyDescent="0.2">
      <c r="D17" s="144" t="str">
        <f>+PROC1!D21</f>
        <v>Auxilio de transporte</v>
      </c>
      <c r="E17" s="145">
        <f>+PROC1!E21</f>
        <v>0</v>
      </c>
      <c r="F17" s="145">
        <f>+PROC1!I21</f>
        <v>0</v>
      </c>
    </row>
    <row r="18" spans="4:6" x14ac:dyDescent="0.2">
      <c r="D18" s="144" t="str">
        <f>+PROC1!D22</f>
        <v>Comisiones</v>
      </c>
      <c r="E18" s="145">
        <f>+PROC1!E22</f>
        <v>0</v>
      </c>
      <c r="F18" s="145">
        <f>+PROC1!I22</f>
        <v>0</v>
      </c>
    </row>
    <row r="19" spans="4:6" x14ac:dyDescent="0.2">
      <c r="D19" s="144" t="str">
        <f>+PROC1!D23</f>
        <v>Horas extras</v>
      </c>
      <c r="E19" s="145">
        <f>+PROC1!E23</f>
        <v>0</v>
      </c>
      <c r="F19" s="145">
        <f>+PROC1!I23</f>
        <v>0</v>
      </c>
    </row>
    <row r="20" spans="4:6" x14ac:dyDescent="0.2">
      <c r="D20" s="144" t="str">
        <f>+PROC1!D24</f>
        <v>Recargos nocturnos y dominicales</v>
      </c>
      <c r="E20" s="145">
        <f>+PROC1!E24</f>
        <v>0</v>
      </c>
      <c r="F20" s="145">
        <f>+PROC1!I24</f>
        <v>0</v>
      </c>
    </row>
    <row r="21" spans="4:6" x14ac:dyDescent="0.2">
      <c r="D21" s="144" t="str">
        <f>+PROC1!D25</f>
        <v>Otros auxilios (movilidad, alimentación, etc.)</v>
      </c>
      <c r="E21" s="145">
        <f>+PROC1!E25</f>
        <v>0</v>
      </c>
      <c r="F21" s="145">
        <f>+PROC1!I25</f>
        <v>0</v>
      </c>
    </row>
    <row r="22" spans="4:6" x14ac:dyDescent="0.2">
      <c r="D22" s="144" t="str">
        <f>+PROC1!D26</f>
        <v>Bonificaciones</v>
      </c>
      <c r="E22" s="145">
        <f>+PROC1!E26</f>
        <v>0</v>
      </c>
      <c r="F22" s="145">
        <f>+PROC1!I26</f>
        <v>0</v>
      </c>
    </row>
    <row r="23" spans="4:6" hidden="1" x14ac:dyDescent="0.2">
      <c r="D23" s="144" t="str">
        <f>+PROC1!D27</f>
        <v>Aportes voluntarios del empleador a fondos de pensiones  (art 126-1 ET)</v>
      </c>
      <c r="E23" s="145">
        <f>+PROC1!E27</f>
        <v>0</v>
      </c>
      <c r="F23" s="145">
        <f>+PROC1!I27</f>
        <v>0</v>
      </c>
    </row>
    <row r="24" spans="4:6" x14ac:dyDescent="0.2">
      <c r="D24" s="144" t="str">
        <f>+PROC1!D28</f>
        <v>Viáticos</v>
      </c>
      <c r="E24" s="145">
        <f>+PROC1!E28</f>
        <v>0</v>
      </c>
      <c r="F24" s="145">
        <f>+PROC1!I28</f>
        <v>0</v>
      </c>
    </row>
    <row r="25" spans="4:6" x14ac:dyDescent="0.2">
      <c r="D25" s="144" t="str">
        <f>+PROC1!D29</f>
        <v>Exceso de las 41 UVT por pagos por concepto de alimentación (art 387-1 ET)</v>
      </c>
      <c r="E25" s="145">
        <f>+PROC1!E29</f>
        <v>0</v>
      </c>
      <c r="F25" s="145">
        <f>+PROC1!I29</f>
        <v>0</v>
      </c>
    </row>
    <row r="26" spans="4:6" x14ac:dyDescent="0.2">
      <c r="D26" s="144" t="str">
        <f>+PROC1!D30</f>
        <v>Incapacidades</v>
      </c>
      <c r="E26" s="145">
        <f>+PROC1!E30</f>
        <v>0</v>
      </c>
      <c r="F26" s="145">
        <f>+PROC1!I30</f>
        <v>0</v>
      </c>
    </row>
    <row r="27" spans="4:6" x14ac:dyDescent="0.2">
      <c r="D27" s="144" t="str">
        <f>+PROC1!D31</f>
        <v>Licencia de maternidad</v>
      </c>
      <c r="E27" s="145">
        <f>+PROC1!E31</f>
        <v>0</v>
      </c>
      <c r="F27" s="145">
        <f>+PROC1!I31</f>
        <v>0</v>
      </c>
    </row>
    <row r="28" spans="4:6" x14ac:dyDescent="0.2">
      <c r="D28" s="144" t="str">
        <f>+PROC1!D32</f>
        <v>Cesantías (no se tienen en cuenta para efectos de la retención en la fuente)</v>
      </c>
      <c r="E28" s="145">
        <f>+PROC1!E32</f>
        <v>0</v>
      </c>
      <c r="F28" s="145">
        <f>+PROC1!I32</f>
        <v>0</v>
      </c>
    </row>
    <row r="29" spans="4:6" x14ac:dyDescent="0.2">
      <c r="D29" s="144" t="str">
        <f>+PROC1!D33</f>
        <v>Intereses sobre cesantías  (no se tienen en cuenta para efectos de la retención en la fuente)</v>
      </c>
      <c r="E29" s="145">
        <f>+PROC1!E33</f>
        <v>0</v>
      </c>
      <c r="F29" s="145">
        <f>+PROC1!I33</f>
        <v>0</v>
      </c>
    </row>
    <row r="30" spans="4:6" x14ac:dyDescent="0.2">
      <c r="D30" s="144" t="str">
        <f>+PROC1!D34</f>
        <v>Prima</v>
      </c>
      <c r="E30" s="145">
        <f>+PROC1!E34</f>
        <v>0</v>
      </c>
      <c r="F30" s="145">
        <f>+PROC1!I34</f>
        <v>0</v>
      </c>
    </row>
    <row r="31" spans="4:6" x14ac:dyDescent="0.2">
      <c r="D31" s="144" t="str">
        <f>+PROC1!D35</f>
        <v>Vacaciones</v>
      </c>
      <c r="E31" s="145">
        <f>+PROC1!E35</f>
        <v>0</v>
      </c>
      <c r="F31" s="145">
        <f>+PROC1!I35</f>
        <v>0</v>
      </c>
    </row>
    <row r="32" spans="4:6" x14ac:dyDescent="0.2">
      <c r="D32" s="144" t="str">
        <f>+PROC1!D36</f>
        <v>Primas extralegales</v>
      </c>
      <c r="E32" s="145">
        <f>+PROC1!E36</f>
        <v>0</v>
      </c>
      <c r="F32" s="145">
        <f>+PROC1!I36</f>
        <v>0</v>
      </c>
    </row>
    <row r="33" spans="2:6" x14ac:dyDescent="0.2">
      <c r="B33" s="146"/>
      <c r="D33" s="144" t="str">
        <f>+PROC1!D37</f>
        <v>Otros ingresos laborales- Bonos, cheques electrónicos, pagos indirectos</v>
      </c>
      <c r="E33" s="145">
        <f>+PROC1!E37</f>
        <v>0</v>
      </c>
      <c r="F33" s="145">
        <f>+PROC1!I37</f>
        <v>0</v>
      </c>
    </row>
    <row r="34" spans="2:6" x14ac:dyDescent="0.2">
      <c r="B34" s="146"/>
      <c r="D34" s="147" t="str">
        <f>+PROC1!D38</f>
        <v xml:space="preserve">Total Ingresos mes </v>
      </c>
      <c r="E34" s="148">
        <f>+PROC1!E38</f>
        <v>0</v>
      </c>
      <c r="F34" s="148">
        <f>+PROC1!I38</f>
        <v>0</v>
      </c>
    </row>
    <row r="35" spans="2:6" x14ac:dyDescent="0.2">
      <c r="B35" s="146"/>
      <c r="F35" s="125" t="s">
        <v>57</v>
      </c>
    </row>
    <row r="36" spans="2:6" x14ac:dyDescent="0.2">
      <c r="B36" s="146"/>
      <c r="D36" s="149" t="s">
        <v>37</v>
      </c>
      <c r="E36" s="150"/>
      <c r="F36" s="148">
        <f>+PROC1!I41</f>
        <v>0</v>
      </c>
    </row>
    <row r="37" spans="2:6" ht="13.5" thickBot="1" x14ac:dyDescent="0.25">
      <c r="B37" s="146"/>
      <c r="D37" s="151"/>
      <c r="E37" s="151"/>
      <c r="F37" s="152"/>
    </row>
    <row r="38" spans="2:6" ht="16.5" thickBot="1" x14ac:dyDescent="0.25">
      <c r="B38" s="141">
        <v>2</v>
      </c>
      <c r="D38" s="153" t="str">
        <f>+PROC1!D43</f>
        <v>Menos ingresos no constitutivos de renta ni ganancia ocasional</v>
      </c>
    </row>
    <row r="39" spans="2:6" ht="15" customHeight="1" x14ac:dyDescent="0.2">
      <c r="B39" s="154"/>
      <c r="D39" s="144" t="str">
        <f>+PROC1!D44</f>
        <v>Aportes obligatorios a Fondos de Pensiones (art. 55 ET)</v>
      </c>
      <c r="E39" s="145">
        <f>+PROC1!E44</f>
        <v>0</v>
      </c>
      <c r="F39" s="145">
        <f>+PROC1!I44</f>
        <v>0</v>
      </c>
    </row>
    <row r="40" spans="2:6" ht="15.75" x14ac:dyDescent="0.2">
      <c r="B40" s="154"/>
      <c r="D40" s="144" t="str">
        <f>+PROC1!D45</f>
        <v>Fondo de Solidaridad Pensional</v>
      </c>
      <c r="E40" s="145">
        <f>+PROC1!E45</f>
        <v>0</v>
      </c>
      <c r="F40" s="145">
        <f>+PROC1!I45</f>
        <v>0</v>
      </c>
    </row>
    <row r="41" spans="2:6" ht="15.75" x14ac:dyDescent="0.2">
      <c r="B41" s="154"/>
      <c r="D41" s="144" t="str">
        <f>+PROC1!D46</f>
        <v>Aportes voluntarios a fondos de pensiones obligatorios (Régimen ahorro individual) (Art. 55 ET)</v>
      </c>
      <c r="E41" s="145">
        <f>+PROC1!E46</f>
        <v>0</v>
      </c>
      <c r="F41" s="145">
        <f>+PROC1!I46</f>
        <v>0</v>
      </c>
    </row>
    <row r="42" spans="2:6" ht="15.75" x14ac:dyDescent="0.2">
      <c r="B42" s="154"/>
      <c r="D42" s="144" t="str">
        <f>+PROC1!D47</f>
        <v>Aportes obligatorios al sistema de salud (art. 56 ET)</v>
      </c>
      <c r="E42" s="145">
        <f>+PROC1!E47</f>
        <v>0</v>
      </c>
      <c r="F42" s="145">
        <f>+PROC1!I47</f>
        <v>0</v>
      </c>
    </row>
    <row r="43" spans="2:6" x14ac:dyDescent="0.2">
      <c r="B43" s="146"/>
      <c r="D43" s="147" t="str">
        <f>+PROC1!D48</f>
        <v>Total ingresos no constitutivos de renta ni ganancia ocasional</v>
      </c>
      <c r="E43" s="148">
        <f>+PROC1!E48</f>
        <v>0</v>
      </c>
      <c r="F43" s="155">
        <f>+PROC1!I48</f>
        <v>0</v>
      </c>
    </row>
    <row r="44" spans="2:6" x14ac:dyDescent="0.2">
      <c r="B44" s="146"/>
    </row>
    <row r="45" spans="2:6" x14ac:dyDescent="0.2">
      <c r="B45" s="146"/>
      <c r="D45" s="149" t="str">
        <f>+PROC1!D50</f>
        <v>Subtotal  (B)</v>
      </c>
      <c r="E45" s="150"/>
      <c r="F45" s="148">
        <f>+PROC1!I50</f>
        <v>0</v>
      </c>
    </row>
    <row r="46" spans="2:6" ht="13.5" thickBot="1" x14ac:dyDescent="0.25">
      <c r="B46" s="146"/>
    </row>
    <row r="47" spans="2:6" ht="16.5" thickBot="1" x14ac:dyDescent="0.25">
      <c r="B47" s="141">
        <v>3</v>
      </c>
      <c r="D47" s="153" t="s">
        <v>71</v>
      </c>
    </row>
    <row r="48" spans="2:6" x14ac:dyDescent="0.2">
      <c r="B48" s="146"/>
      <c r="D48" s="144" t="str">
        <f>+PROC1!D53</f>
        <v>Intereses por prestamos de vivienda (promedio año anterior o los meses correspondientes)</v>
      </c>
      <c r="E48" s="145">
        <f>+PROC1!E53</f>
        <v>0</v>
      </c>
      <c r="F48" s="145">
        <f>+PROC1!I53</f>
        <v>0</v>
      </c>
    </row>
    <row r="49" spans="2:6" x14ac:dyDescent="0.2">
      <c r="B49" s="146"/>
      <c r="D49" s="144" t="str">
        <f>+PROC1!D54</f>
        <v>Pagos por salud prepagada, Plan complementario de salud, o seguros de salud (art 387 ET)- Promedio del año anterior</v>
      </c>
      <c r="E49" s="145">
        <f>+PROC1!E54</f>
        <v>0</v>
      </c>
      <c r="F49" s="145">
        <f>+PROC1!I54</f>
        <v>0</v>
      </c>
    </row>
    <row r="50" spans="2:6" x14ac:dyDescent="0.2">
      <c r="B50" s="146"/>
      <c r="D50" s="144" t="str">
        <f>+PROC1!D55</f>
        <v>Por dependientes (Art 387 ET)</v>
      </c>
      <c r="E50" s="145">
        <f>+PROC1!E55</f>
        <v>0</v>
      </c>
      <c r="F50" s="145">
        <f>+PROC1!I55</f>
        <v>0</v>
      </c>
    </row>
    <row r="51" spans="2:6" x14ac:dyDescent="0.2">
      <c r="B51" s="146"/>
      <c r="D51" s="147" t="str">
        <f>+PROC1!D57</f>
        <v>Total deducciones</v>
      </c>
      <c r="E51" s="148" t="s">
        <v>57</v>
      </c>
      <c r="F51" s="148">
        <f>+PROC1!I57</f>
        <v>0</v>
      </c>
    </row>
    <row r="52" spans="2:6" x14ac:dyDescent="0.2">
      <c r="B52" s="146"/>
      <c r="D52" s="178"/>
      <c r="E52" s="152"/>
      <c r="F52" s="152"/>
    </row>
    <row r="53" spans="2:6" x14ac:dyDescent="0.2">
      <c r="B53" s="146"/>
      <c r="D53" s="178" t="s">
        <v>74</v>
      </c>
      <c r="E53" s="152"/>
      <c r="F53" s="202"/>
    </row>
    <row r="54" spans="2:6" hidden="1" x14ac:dyDescent="0.2">
      <c r="B54" s="146"/>
      <c r="D54" s="144" t="str">
        <f>+PROC1!D63</f>
        <v>Aportes voluntarios del empleador a Fondos de Pensiones (art. 126-1 ET)</v>
      </c>
      <c r="E54" s="148">
        <f>+PROC1!E63</f>
        <v>0</v>
      </c>
      <c r="F54" s="261">
        <f>+PROC1!I63</f>
        <v>0</v>
      </c>
    </row>
    <row r="55" spans="2:6" x14ac:dyDescent="0.2">
      <c r="B55" s="146"/>
      <c r="D55" s="144" t="str">
        <f>+PROC1!D64</f>
        <v>Aportes a Fondos de Pensiones Voluntarias (art. 126-1 ET)</v>
      </c>
      <c r="E55" s="145">
        <f>+PROC1!E64</f>
        <v>0</v>
      </c>
      <c r="F55" s="262"/>
    </row>
    <row r="56" spans="2:6" x14ac:dyDescent="0.2">
      <c r="B56" s="146"/>
      <c r="D56" s="144" t="str">
        <f>+PROC1!D65</f>
        <v>Descuentos hechos por la empresa con destino a cuentas AFC, AVC (art 126-4 ET)</v>
      </c>
      <c r="E56" s="145">
        <f>+PROC1!E65</f>
        <v>0</v>
      </c>
      <c r="F56" s="263"/>
    </row>
    <row r="57" spans="2:6" x14ac:dyDescent="0.2">
      <c r="B57" s="146"/>
      <c r="D57" s="144" t="str">
        <f>+PROC1!D66</f>
        <v>Indemnizaciones por accidentes de trabajo o enfermedad (art 206 ET Num 1)</v>
      </c>
      <c r="E57" s="145">
        <f>+PROC1!E66</f>
        <v>0</v>
      </c>
      <c r="F57" s="148">
        <f>+PROC1!I66</f>
        <v>0</v>
      </c>
    </row>
    <row r="58" spans="2:6" hidden="1" x14ac:dyDescent="0.2">
      <c r="B58" s="146"/>
      <c r="D58" s="144">
        <f>+PROC1!D67</f>
        <v>0</v>
      </c>
      <c r="E58" s="145">
        <f>+PROC1!E67</f>
        <v>0</v>
      </c>
      <c r="F58" s="148">
        <f>+PROC1!I67</f>
        <v>0</v>
      </c>
    </row>
    <row r="59" spans="2:6" x14ac:dyDescent="0.2">
      <c r="B59" s="146"/>
      <c r="D59" s="144" t="str">
        <f>+PROC1!D68</f>
        <v>Gastos de representación de los rectores y profesores de las U. públ. (art 206 ET Num 9)</v>
      </c>
      <c r="E59" s="145">
        <f>+PROC1!E68</f>
        <v>0</v>
      </c>
      <c r="F59" s="148">
        <f>+PROC1!I68</f>
        <v>0</v>
      </c>
    </row>
    <row r="60" spans="2:6" x14ac:dyDescent="0.2">
      <c r="B60" s="146"/>
      <c r="D60" s="144" t="str">
        <f>+PROC1!D69</f>
        <v>Indemnizaciones proteccion a la maternidad (art 206 ET Num 2)</v>
      </c>
      <c r="E60" s="145">
        <f>+PROC1!E69</f>
        <v>0</v>
      </c>
      <c r="F60" s="148">
        <f>+PROC1!I69</f>
        <v>0</v>
      </c>
    </row>
    <row r="61" spans="2:6" x14ac:dyDescent="0.2">
      <c r="B61" s="146"/>
      <c r="D61" s="144" t="str">
        <f>+PROC1!D70</f>
        <v>Gastos de entierro del trabajador (art 206 ET Num 3)</v>
      </c>
      <c r="E61" s="145">
        <f>+PROC1!E70</f>
        <v>0</v>
      </c>
      <c r="F61" s="148">
        <f>+PROC1!I70</f>
        <v>0</v>
      </c>
    </row>
    <row r="62" spans="2:6" x14ac:dyDescent="0.2">
      <c r="B62" s="146"/>
      <c r="D62" s="144" t="str">
        <f>+PROC1!D71</f>
        <v>Otras rentas exentas (Art. 206 ET)</v>
      </c>
      <c r="E62" s="145">
        <f>+PROC1!E71</f>
        <v>0</v>
      </c>
      <c r="F62" s="148">
        <f>+PROC1!I71</f>
        <v>0</v>
      </c>
    </row>
    <row r="63" spans="2:6" x14ac:dyDescent="0.2">
      <c r="B63" s="146"/>
      <c r="D63" s="147" t="str">
        <f>+PROC1!D72</f>
        <v>Total renta exentas</v>
      </c>
      <c r="E63" s="145"/>
      <c r="F63" s="148">
        <f>+PROC1!I72</f>
        <v>0</v>
      </c>
    </row>
    <row r="64" spans="2:6" x14ac:dyDescent="0.2">
      <c r="B64" s="146"/>
    </row>
    <row r="65" spans="2:7" x14ac:dyDescent="0.2">
      <c r="B65" s="146"/>
      <c r="D65" s="149" t="str">
        <f>+PROC1!D74</f>
        <v>Subtotal  (C)</v>
      </c>
      <c r="E65" s="150"/>
      <c r="F65" s="148">
        <f>+PROC1!I74</f>
        <v>0</v>
      </c>
    </row>
    <row r="66" spans="2:7" x14ac:dyDescent="0.2">
      <c r="B66" s="146"/>
      <c r="D66" s="149" t="str">
        <f>+PROC1!D75</f>
        <v>Valor de la prima de servicios</v>
      </c>
      <c r="E66" s="150"/>
      <c r="F66" s="148">
        <f>+PROC1!I75</f>
        <v>0</v>
      </c>
    </row>
    <row r="67" spans="2:7" x14ac:dyDescent="0.2">
      <c r="B67" s="146"/>
      <c r="D67" s="149" t="str">
        <f>+PROC1!D76</f>
        <v>Subtotal  (C)</v>
      </c>
      <c r="E67" s="150"/>
      <c r="F67" s="148">
        <f>+PROC1!I76</f>
        <v>0</v>
      </c>
    </row>
    <row r="68" spans="2:7" ht="13.5" thickBot="1" x14ac:dyDescent="0.25">
      <c r="B68" s="146"/>
    </row>
    <row r="69" spans="2:7" ht="16.5" thickBot="1" x14ac:dyDescent="0.25">
      <c r="B69" s="141">
        <v>4</v>
      </c>
      <c r="D69" s="149" t="str">
        <f>+PROC1!D78</f>
        <v>Menos renta exenta -25%  del subtotal (C)  (Numeral 10 art. 206 ET)</v>
      </c>
      <c r="E69" s="156"/>
      <c r="F69" s="148">
        <f>+PROC1!I78</f>
        <v>0</v>
      </c>
    </row>
    <row r="70" spans="2:7" x14ac:dyDescent="0.2"/>
    <row r="71" spans="2:7" x14ac:dyDescent="0.2">
      <c r="D71" s="124" t="str">
        <f>+PROC1!D59</f>
        <v>Límite del 40% sobre RE y Deducciones (excluir cesantías)</v>
      </c>
      <c r="F71" s="125">
        <f>+PROC1!I59</f>
        <v>0</v>
      </c>
    </row>
    <row r="72" spans="2:7" x14ac:dyDescent="0.2">
      <c r="D72" s="124" t="str">
        <f>+PROC1!D60</f>
        <v>Total renta exentas (incluye el 25%) y deducciones</v>
      </c>
      <c r="F72" s="125">
        <f>+PROC1!I60</f>
        <v>0</v>
      </c>
    </row>
    <row r="73" spans="2:7" x14ac:dyDescent="0.2"/>
    <row r="74" spans="2:7" ht="15" x14ac:dyDescent="0.25">
      <c r="D74" s="149" t="str">
        <f>+PROC1!D81</f>
        <v>Base Gravable (Ver Tabla)</v>
      </c>
      <c r="E74" s="150"/>
      <c r="F74" s="148">
        <f>+PROC1!I81</f>
        <v>0</v>
      </c>
      <c r="G74" s="170">
        <f ca="1">+PROC1!J81</f>
        <v>0</v>
      </c>
    </row>
    <row r="75" spans="2:7" x14ac:dyDescent="0.2"/>
    <row r="76" spans="2:7" ht="15" x14ac:dyDescent="0.25">
      <c r="D76" s="160" t="str">
        <f>+PROC1!D85</f>
        <v>Valor retención en la fuente Art. 383 ET</v>
      </c>
      <c r="E76" s="157"/>
      <c r="F76" s="158">
        <f>+PROC1!I85</f>
        <v>0</v>
      </c>
      <c r="G76" s="162"/>
    </row>
    <row r="77" spans="2:7" ht="15" x14ac:dyDescent="0.25">
      <c r="D77" s="160" t="str">
        <f>+PROC1!D86</f>
        <v>Valor retención en la fuente a practicar por prima de servicios (art. 383 ET)</v>
      </c>
      <c r="E77" s="157"/>
      <c r="F77" s="158">
        <f>+PROC1!I86</f>
        <v>0</v>
      </c>
    </row>
    <row r="78" spans="2:7" ht="15" x14ac:dyDescent="0.25">
      <c r="D78" s="160" t="str">
        <f>+PROC1!D87</f>
        <v>Total retenciones a practicar (Art. 383 ET)</v>
      </c>
      <c r="E78" s="157"/>
      <c r="F78" s="158">
        <f>+PROC1!I87</f>
        <v>0</v>
      </c>
      <c r="G78" s="162" t="str">
        <f>+PROC1!J87</f>
        <v xml:space="preserve"> </v>
      </c>
    </row>
    <row r="79" spans="2:7" ht="15" x14ac:dyDescent="0.25">
      <c r="D79" s="151"/>
      <c r="E79" s="164"/>
      <c r="F79" s="165"/>
      <c r="G79" s="162"/>
    </row>
    <row r="80" spans="2:7" ht="15" x14ac:dyDescent="0.25">
      <c r="D80" s="151"/>
      <c r="E80" s="164"/>
      <c r="F80" s="165"/>
      <c r="G80" s="162"/>
    </row>
    <row r="81" spans="4:7" ht="15" x14ac:dyDescent="0.25">
      <c r="D81" s="151"/>
      <c r="E81" s="164"/>
      <c r="F81" s="165"/>
      <c r="G81" s="162"/>
    </row>
    <row r="82" spans="4:7" x14ac:dyDescent="0.2"/>
    <row r="83" spans="4:7" ht="15" x14ac:dyDescent="0.2">
      <c r="D83" s="159">
        <f ca="1">+PROC1!J81</f>
        <v>0</v>
      </c>
    </row>
    <row r="84" spans="4:7" x14ac:dyDescent="0.2"/>
    <row r="85" spans="4:7" x14ac:dyDescent="0.2"/>
    <row r="86" spans="4:7" x14ac:dyDescent="0.2">
      <c r="F86" s="125" t="s">
        <v>72</v>
      </c>
    </row>
    <row r="87" spans="4:7" x14ac:dyDescent="0.2">
      <c r="F87" s="125" t="s">
        <v>73</v>
      </c>
    </row>
    <row r="88" spans="4:7" x14ac:dyDescent="0.2"/>
    <row r="89" spans="4:7" x14ac:dyDescent="0.2"/>
    <row r="90" spans="4:7" hidden="1" x14ac:dyDescent="0.2"/>
    <row r="91" spans="4:7" hidden="1" x14ac:dyDescent="0.2"/>
    <row r="92" spans="4:7" hidden="1" x14ac:dyDescent="0.2"/>
    <row r="93" spans="4:7" hidden="1" x14ac:dyDescent="0.2"/>
    <row r="94" spans="4:7" hidden="1" x14ac:dyDescent="0.2"/>
    <row r="95" spans="4:7" hidden="1" x14ac:dyDescent="0.2"/>
    <row r="96" spans="4:7" hidden="1" x14ac:dyDescent="0.2"/>
    <row r="97" hidden="1" x14ac:dyDescent="0.2"/>
    <row r="98" hidden="1"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sheetData>
  <sheetProtection algorithmName="SHA-512" hashValue="wETbTh6mUOR0VPPFHRd7SbaLb8P1wfGJT5YjM9qhBLo+M63DQX9TbIU6Gyl7Ksjjzi1BVoLoAoxERr5U5yHpGw==" saltValue="3HD1oLogwzCVpgKtvvV1vg==" spinCount="100000" sheet="1" objects="1" scenarios="1"/>
  <mergeCells count="1">
    <mergeCell ref="F54:F56"/>
  </mergeCells>
  <phoneticPr fontId="2" type="noConversion"/>
  <dataValidations disablePrompts="1" xWindow="951" yWindow="123"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3"/>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34 D16:E33"/>
    <dataValidation allowBlank="1" showInputMessage="1" showErrorMessage="1" prompt="Digite la totalidad de los ingresos recibidos en el año anterior" sqref="F6"/>
    <dataValidation allowBlank="1" showInputMessage="1" showErrorMessage="1" prompt="Digite el valor promedio mensual  correspondinte al descontado al trabajador en el año inmediatamente anterior_x000a_" sqref="E48:E50"/>
  </dataValidations>
  <pageMargins left="0.39370078740157483" right="0.19685039370078741" top="0.19685039370078741" bottom="0.19685039370078741" header="0" footer="0"/>
  <pageSetup scale="70" orientation="portrait" r:id="rId1"/>
  <headerFooter alignWithMargins="0">
    <oddFooter>&amp;C&amp;D&amp;T&amp;R&amp;8
&amp;10www.consultorcontable.com</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227"/>
  <sheetViews>
    <sheetView workbookViewId="0">
      <selection activeCell="B8" sqref="B8"/>
    </sheetView>
  </sheetViews>
  <sheetFormatPr baseColWidth="10" defaultColWidth="0" defaultRowHeight="12.75" zeroHeight="1" x14ac:dyDescent="0.2"/>
  <cols>
    <col min="1" max="1" width="2" customWidth="1"/>
    <col min="2" max="2" width="123.5703125" bestFit="1" customWidth="1"/>
    <col min="3" max="3" width="11.42578125" customWidth="1"/>
  </cols>
  <sheetData>
    <row r="1" spans="1:3" ht="32.25" customHeight="1" x14ac:dyDescent="0.2">
      <c r="A1" s="31"/>
      <c r="B1" s="31"/>
      <c r="C1" s="31"/>
    </row>
    <row r="2" spans="1:3" ht="25.5" x14ac:dyDescent="0.35">
      <c r="A2" s="31"/>
      <c r="B2" s="41" t="s">
        <v>8</v>
      </c>
      <c r="C2" s="31"/>
    </row>
    <row r="3" spans="1:3" ht="13.5" customHeight="1" x14ac:dyDescent="0.25">
      <c r="A3" s="31"/>
      <c r="B3" s="32"/>
      <c r="C3" s="31"/>
    </row>
    <row r="4" spans="1:3" ht="15.75" hidden="1" x14ac:dyDescent="0.25">
      <c r="A4" s="31"/>
      <c r="B4" s="32"/>
      <c r="C4" s="31"/>
    </row>
    <row r="5" spans="1:3" x14ac:dyDescent="0.2">
      <c r="A5" s="31"/>
      <c r="B5" s="33" t="s">
        <v>135</v>
      </c>
      <c r="C5" s="31"/>
    </row>
    <row r="6" spans="1:3" ht="11.25" customHeight="1" x14ac:dyDescent="0.25">
      <c r="A6" s="31"/>
      <c r="B6" s="32"/>
      <c r="C6" s="31"/>
    </row>
    <row r="7" spans="1:3" ht="4.5" customHeight="1" x14ac:dyDescent="0.25">
      <c r="A7" s="31"/>
      <c r="B7" s="32"/>
      <c r="C7" s="31"/>
    </row>
    <row r="8" spans="1:3" ht="15" x14ac:dyDescent="0.2">
      <c r="A8" s="31"/>
      <c r="B8" s="34" t="s">
        <v>9</v>
      </c>
      <c r="C8" s="31"/>
    </row>
    <row r="9" spans="1:3" ht="15" x14ac:dyDescent="0.2">
      <c r="A9" s="31"/>
      <c r="B9" s="35"/>
      <c r="C9" s="31"/>
    </row>
    <row r="10" spans="1:3" ht="15" x14ac:dyDescent="0.2">
      <c r="A10" s="31"/>
      <c r="B10" s="35"/>
      <c r="C10" s="31"/>
    </row>
    <row r="11" spans="1:3" x14ac:dyDescent="0.2">
      <c r="A11" s="31"/>
      <c r="B11" s="36" t="s">
        <v>10</v>
      </c>
      <c r="C11" s="31"/>
    </row>
    <row r="12" spans="1:3" x14ac:dyDescent="0.2">
      <c r="A12" s="31"/>
      <c r="B12" s="37"/>
      <c r="C12" s="31"/>
    </row>
    <row r="13" spans="1:3" ht="25.5" x14ac:dyDescent="0.2">
      <c r="A13" s="31"/>
      <c r="B13" s="37" t="s">
        <v>11</v>
      </c>
      <c r="C13" s="31"/>
    </row>
    <row r="14" spans="1:3" x14ac:dyDescent="0.2">
      <c r="A14" s="31"/>
      <c r="B14" s="37"/>
      <c r="C14" s="31"/>
    </row>
    <row r="15" spans="1:3" ht="25.5" x14ac:dyDescent="0.2">
      <c r="A15" s="31"/>
      <c r="B15" s="37" t="s">
        <v>12</v>
      </c>
      <c r="C15" s="31"/>
    </row>
    <row r="16" spans="1:3" x14ac:dyDescent="0.2">
      <c r="A16" s="31"/>
      <c r="B16" s="37" t="s">
        <v>117</v>
      </c>
      <c r="C16" s="31"/>
    </row>
    <row r="17" spans="1:3" x14ac:dyDescent="0.2">
      <c r="A17" s="31"/>
      <c r="B17" s="37"/>
      <c r="C17" s="31"/>
    </row>
    <row r="18" spans="1:3" x14ac:dyDescent="0.2">
      <c r="A18" s="31"/>
      <c r="B18" s="37"/>
      <c r="C18" s="31"/>
    </row>
    <row r="19" spans="1:3" x14ac:dyDescent="0.2">
      <c r="A19" s="31"/>
      <c r="B19" s="36" t="s">
        <v>13</v>
      </c>
      <c r="C19" s="31"/>
    </row>
    <row r="20" spans="1:3" x14ac:dyDescent="0.2">
      <c r="A20" s="31"/>
      <c r="B20" s="37"/>
      <c r="C20" s="31"/>
    </row>
    <row r="21" spans="1:3" x14ac:dyDescent="0.2">
      <c r="A21" s="31"/>
      <c r="B21" s="37"/>
      <c r="C21" s="31"/>
    </row>
    <row r="22" spans="1:3" ht="38.25" x14ac:dyDescent="0.2">
      <c r="A22" s="31"/>
      <c r="B22" s="37" t="s">
        <v>14</v>
      </c>
      <c r="C22" s="31"/>
    </row>
    <row r="23" spans="1:3" x14ac:dyDescent="0.2">
      <c r="A23" s="31"/>
      <c r="B23" s="37"/>
      <c r="C23" s="31"/>
    </row>
    <row r="24" spans="1:3" ht="25.5" x14ac:dyDescent="0.2">
      <c r="A24" s="31"/>
      <c r="B24" s="37" t="s">
        <v>15</v>
      </c>
      <c r="C24" s="31"/>
    </row>
    <row r="25" spans="1:3" x14ac:dyDescent="0.2">
      <c r="A25" s="31"/>
      <c r="B25" s="37"/>
      <c r="C25" s="31"/>
    </row>
    <row r="26" spans="1:3" x14ac:dyDescent="0.2">
      <c r="A26" s="31"/>
      <c r="B26" s="37"/>
      <c r="C26" s="31"/>
    </row>
    <row r="27" spans="1:3" ht="25.5" x14ac:dyDescent="0.2">
      <c r="A27" s="31"/>
      <c r="B27" s="37" t="s">
        <v>16</v>
      </c>
      <c r="C27" s="31"/>
    </row>
    <row r="28" spans="1:3" x14ac:dyDescent="0.2">
      <c r="A28" s="31"/>
      <c r="B28" s="37"/>
      <c r="C28" s="31"/>
    </row>
    <row r="29" spans="1:3" x14ac:dyDescent="0.2">
      <c r="A29" s="31"/>
      <c r="B29" s="37"/>
      <c r="C29" s="31"/>
    </row>
    <row r="30" spans="1:3" x14ac:dyDescent="0.2">
      <c r="A30" s="31"/>
      <c r="B30" s="36" t="s">
        <v>17</v>
      </c>
      <c r="C30" s="31"/>
    </row>
    <row r="31" spans="1:3" x14ac:dyDescent="0.2">
      <c r="A31" s="31"/>
      <c r="B31" s="37"/>
      <c r="C31" s="31"/>
    </row>
    <row r="32" spans="1:3" x14ac:dyDescent="0.2">
      <c r="A32" s="31"/>
      <c r="B32" s="37"/>
      <c r="C32" s="31"/>
    </row>
    <row r="33" spans="1:3" ht="38.25" x14ac:dyDescent="0.2">
      <c r="A33" s="31"/>
      <c r="B33" s="38" t="s">
        <v>18</v>
      </c>
      <c r="C33" s="31"/>
    </row>
    <row r="34" spans="1:3" x14ac:dyDescent="0.2">
      <c r="A34" s="31"/>
      <c r="B34" s="37" t="s">
        <v>19</v>
      </c>
      <c r="C34" s="31"/>
    </row>
    <row r="35" spans="1:3" x14ac:dyDescent="0.2">
      <c r="A35" s="31"/>
      <c r="B35" s="37"/>
      <c r="C35" s="31"/>
    </row>
    <row r="36" spans="1:3" ht="51" x14ac:dyDescent="0.2">
      <c r="A36" s="31"/>
      <c r="B36" s="38" t="s">
        <v>20</v>
      </c>
      <c r="C36" s="31"/>
    </row>
    <row r="37" spans="1:3" ht="25.5" x14ac:dyDescent="0.2">
      <c r="A37" s="31"/>
      <c r="B37" s="37" t="s">
        <v>21</v>
      </c>
      <c r="C37" s="31"/>
    </row>
    <row r="38" spans="1:3" x14ac:dyDescent="0.2">
      <c r="A38" s="31"/>
      <c r="B38" s="37"/>
      <c r="C38" s="31"/>
    </row>
    <row r="39" spans="1:3" ht="51" x14ac:dyDescent="0.2">
      <c r="A39" s="31"/>
      <c r="B39" s="38" t="s">
        <v>22</v>
      </c>
      <c r="C39" s="31"/>
    </row>
    <row r="40" spans="1:3" x14ac:dyDescent="0.2">
      <c r="A40" s="31"/>
      <c r="B40" s="37"/>
      <c r="C40" s="31"/>
    </row>
    <row r="41" spans="1:3" x14ac:dyDescent="0.2">
      <c r="A41" s="31"/>
      <c r="B41" s="37"/>
      <c r="C41" s="31"/>
    </row>
    <row r="42" spans="1:3" x14ac:dyDescent="0.2">
      <c r="A42" s="31"/>
      <c r="B42" s="36" t="s">
        <v>23</v>
      </c>
      <c r="C42" s="31"/>
    </row>
    <row r="43" spans="1:3" x14ac:dyDescent="0.2">
      <c r="A43" s="31"/>
      <c r="B43" s="36"/>
      <c r="C43" s="31"/>
    </row>
    <row r="44" spans="1:3" ht="25.5" x14ac:dyDescent="0.2">
      <c r="A44" s="31"/>
      <c r="B44" s="37" t="s">
        <v>28</v>
      </c>
      <c r="C44" s="31"/>
    </row>
    <row r="45" spans="1:3" x14ac:dyDescent="0.2">
      <c r="A45" s="31"/>
      <c r="B45" s="37"/>
      <c r="C45" s="31"/>
    </row>
    <row r="46" spans="1:3" x14ac:dyDescent="0.2">
      <c r="A46" s="31"/>
      <c r="B46" s="37"/>
      <c r="C46" s="31"/>
    </row>
    <row r="47" spans="1:3" ht="12.75" customHeight="1" x14ac:dyDescent="0.2">
      <c r="A47" s="31"/>
      <c r="B47" s="264" t="s">
        <v>27</v>
      </c>
      <c r="C47" s="31"/>
    </row>
    <row r="48" spans="1:3" ht="43.5" customHeight="1" x14ac:dyDescent="0.2">
      <c r="A48" s="31"/>
      <c r="B48" s="265"/>
      <c r="C48" s="31"/>
    </row>
    <row r="49" spans="1:3" ht="63.75" customHeight="1" x14ac:dyDescent="0.2">
      <c r="A49" s="31"/>
      <c r="B49" s="265"/>
      <c r="C49" s="31"/>
    </row>
    <row r="50" spans="1:3" ht="74.25" customHeight="1" x14ac:dyDescent="0.2">
      <c r="A50" s="31"/>
      <c r="B50" s="265"/>
      <c r="C50" s="31"/>
    </row>
    <row r="51" spans="1:3" ht="120.75" customHeight="1" x14ac:dyDescent="0.2">
      <c r="A51" s="31"/>
      <c r="B51" s="265"/>
      <c r="C51" s="31"/>
    </row>
    <row r="52" spans="1:3" x14ac:dyDescent="0.2">
      <c r="A52" s="31"/>
      <c r="B52" s="265"/>
      <c r="C52" s="31"/>
    </row>
    <row r="53" spans="1:3" x14ac:dyDescent="0.2">
      <c r="A53" s="31"/>
      <c r="B53" s="265"/>
      <c r="C53" s="31"/>
    </row>
    <row r="54" spans="1:3" ht="21" customHeight="1" x14ac:dyDescent="0.2">
      <c r="A54" s="31"/>
      <c r="B54" s="265"/>
      <c r="C54" s="31"/>
    </row>
    <row r="55" spans="1:3" ht="33" customHeight="1" x14ac:dyDescent="0.2">
      <c r="A55" s="31"/>
      <c r="B55" s="265"/>
      <c r="C55" s="31"/>
    </row>
    <row r="56" spans="1:3" x14ac:dyDescent="0.2">
      <c r="A56" s="31"/>
      <c r="B56" s="38" t="s">
        <v>57</v>
      </c>
      <c r="C56" s="31"/>
    </row>
    <row r="57" spans="1:3" x14ac:dyDescent="0.2">
      <c r="A57" s="31"/>
      <c r="B57" s="37" t="s">
        <v>57</v>
      </c>
      <c r="C57" s="31"/>
    </row>
    <row r="58" spans="1:3" s="39" customFormat="1" x14ac:dyDescent="0.2">
      <c r="A58" s="40"/>
      <c r="B58" s="175" t="s">
        <v>95</v>
      </c>
    </row>
    <row r="59" spans="1:3" s="31" customFormat="1" x14ac:dyDescent="0.2"/>
    <row r="60" spans="1:3" s="31" customFormat="1" x14ac:dyDescent="0.2"/>
    <row r="61" spans="1:3" hidden="1" x14ac:dyDescent="0.2"/>
    <row r="62" spans="1:3" hidden="1" x14ac:dyDescent="0.2"/>
    <row r="63" spans="1:3" hidden="1" x14ac:dyDescent="0.2"/>
    <row r="64" spans="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sheetData>
  <sheetProtection algorithmName="SHA-512" hashValue="8iTKp/GiVE9g9h4SsLML8WVvIE66Wlu9CTcG6xokJ/uhZvYItsrdHEZeBfaQwlPjlHpBORcrrCDryz5Jnd7kTw==" saltValue="nqEQYocm3DqHnhvGV4mykw==" spinCount="100000" sheet="1"/>
  <mergeCells count="1">
    <mergeCell ref="B47:B55"/>
  </mergeCells>
  <hyperlinks>
    <hyperlink ref="B58" r:id="rId1"/>
  </hyperlinks>
  <pageMargins left="0.31496062992125984" right="0.31496062992125984" top="0.74803149606299213" bottom="0.74803149606299213" header="0.31496062992125984" footer="0.31496062992125984"/>
  <pageSetup scale="7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I32"/>
  <sheetViews>
    <sheetView showGridLines="0" defaultGridColor="0" colorId="23" zoomScale="115" workbookViewId="0">
      <selection activeCell="I6" sqref="I6"/>
    </sheetView>
  </sheetViews>
  <sheetFormatPr baseColWidth="10" defaultColWidth="0" defaultRowHeight="12.75" outlineLevelCol="1" x14ac:dyDescent="0.2"/>
  <cols>
    <col min="1" max="1" width="0.85546875" customWidth="1"/>
    <col min="2" max="2" width="14.7109375" bestFit="1" customWidth="1"/>
    <col min="3" max="3" width="16.7109375" customWidth="1"/>
    <col min="4" max="4" width="14.140625" customWidth="1"/>
    <col min="5" max="5" width="51.85546875" customWidth="1"/>
    <col min="6" max="6" width="13.140625" hidden="1" customWidth="1" outlineLevel="1"/>
    <col min="7" max="7" width="12.42578125" hidden="1" customWidth="1" outlineLevel="1"/>
    <col min="8" max="8" width="9.5703125" hidden="1" customWidth="1" outlineLevel="1"/>
    <col min="9" max="9" width="11.42578125" customWidth="1" collapsed="1"/>
  </cols>
  <sheetData>
    <row r="1" spans="2:8" ht="5.25" customHeight="1" x14ac:dyDescent="0.2">
      <c r="E1" s="13"/>
    </row>
    <row r="2" spans="2:8" ht="12" customHeight="1" x14ac:dyDescent="0.2">
      <c r="B2" s="213"/>
      <c r="C2" s="213"/>
      <c r="D2" s="213"/>
      <c r="E2" s="214"/>
    </row>
    <row r="3" spans="2:8" ht="15.75" customHeight="1" x14ac:dyDescent="0.25">
      <c r="B3" s="230"/>
      <c r="C3" s="266" t="s">
        <v>47</v>
      </c>
      <c r="D3" s="266"/>
      <c r="E3" s="266"/>
      <c r="F3" s="26"/>
    </row>
    <row r="4" spans="2:8" ht="17.25" customHeight="1" x14ac:dyDescent="0.2">
      <c r="B4" s="213"/>
      <c r="C4" s="213"/>
      <c r="D4" s="213"/>
      <c r="E4" s="214"/>
    </row>
    <row r="5" spans="2:8" ht="13.5" thickBot="1" x14ac:dyDescent="0.25"/>
    <row r="6" spans="2:8" ht="15.75" thickBot="1" x14ac:dyDescent="0.3">
      <c r="B6" s="273" t="s">
        <v>113</v>
      </c>
      <c r="C6" s="274"/>
      <c r="D6" s="274"/>
      <c r="E6" s="275"/>
    </row>
    <row r="7" spans="2:8" ht="15" customHeight="1" x14ac:dyDescent="0.2">
      <c r="B7" s="16"/>
      <c r="C7" s="1"/>
      <c r="D7" s="1" t="s">
        <v>60</v>
      </c>
      <c r="E7" s="1"/>
      <c r="G7" t="s">
        <v>4</v>
      </c>
      <c r="H7" s="8">
        <f>+PROC1!I81/PROC1!I14</f>
        <v>0</v>
      </c>
    </row>
    <row r="8" spans="2:8" ht="10.9" customHeight="1" thickBot="1" x14ac:dyDescent="0.25">
      <c r="B8" s="1"/>
      <c r="C8" s="1"/>
      <c r="D8" s="1"/>
      <c r="E8" s="1"/>
    </row>
    <row r="9" spans="2:8" ht="14.25" customHeight="1" x14ac:dyDescent="0.2">
      <c r="B9" s="271" t="s">
        <v>41</v>
      </c>
      <c r="C9" s="272"/>
      <c r="D9" s="278" t="s">
        <v>44</v>
      </c>
      <c r="E9" s="276" t="s">
        <v>45</v>
      </c>
      <c r="F9" s="269" t="s">
        <v>3</v>
      </c>
      <c r="G9" s="267" t="s">
        <v>46</v>
      </c>
      <c r="H9" s="267" t="s">
        <v>4</v>
      </c>
    </row>
    <row r="10" spans="2:8" ht="15" customHeight="1" thickBot="1" x14ac:dyDescent="0.25">
      <c r="B10" s="14" t="s">
        <v>42</v>
      </c>
      <c r="C10" s="15" t="s">
        <v>43</v>
      </c>
      <c r="D10" s="279"/>
      <c r="E10" s="277"/>
      <c r="F10" s="270"/>
      <c r="G10" s="268"/>
      <c r="H10" s="268"/>
    </row>
    <row r="11" spans="2:8" ht="23.25" customHeight="1" thickBot="1" x14ac:dyDescent="0.25">
      <c r="B11" s="17" t="s">
        <v>0</v>
      </c>
      <c r="C11" s="18">
        <v>95</v>
      </c>
      <c r="D11" s="19">
        <v>0</v>
      </c>
      <c r="E11" s="29">
        <v>0</v>
      </c>
      <c r="F11" s="27"/>
      <c r="G11" s="2"/>
      <c r="H11" s="5"/>
    </row>
    <row r="12" spans="2:8" ht="29.25" thickBot="1" x14ac:dyDescent="0.25">
      <c r="B12" s="20">
        <v>95</v>
      </c>
      <c r="C12" s="21">
        <v>150</v>
      </c>
      <c r="D12" s="22">
        <v>0.19</v>
      </c>
      <c r="E12" s="179" t="s">
        <v>129</v>
      </c>
      <c r="F12" s="27"/>
      <c r="G12" s="2" t="b">
        <f t="shared" ref="G12:G17" si="0">AND($H$7&gt;=B12,$H$7&lt;C12)</f>
        <v>0</v>
      </c>
      <c r="H12" s="5">
        <f>IF(G12=TRUE,($H$7-B12)*D12,0)</f>
        <v>0</v>
      </c>
    </row>
    <row r="13" spans="2:8" ht="29.25" thickBot="1" x14ac:dyDescent="0.25">
      <c r="B13" s="20">
        <v>150</v>
      </c>
      <c r="C13" s="21">
        <v>360</v>
      </c>
      <c r="D13" s="22">
        <v>0.28000000000000003</v>
      </c>
      <c r="E13" s="179" t="s">
        <v>130</v>
      </c>
      <c r="F13" s="27">
        <v>10</v>
      </c>
      <c r="G13" s="2" t="b">
        <f t="shared" si="0"/>
        <v>0</v>
      </c>
      <c r="H13" s="5">
        <f>IF(G13=TRUE,($H$7-B13)*D13+F13,0)</f>
        <v>0</v>
      </c>
    </row>
    <row r="14" spans="2:8" ht="29.25" thickBot="1" x14ac:dyDescent="0.25">
      <c r="B14" s="23">
        <v>360</v>
      </c>
      <c r="C14" s="24">
        <v>640</v>
      </c>
      <c r="D14" s="25">
        <v>0.33</v>
      </c>
      <c r="E14" s="179" t="s">
        <v>131</v>
      </c>
      <c r="F14" s="28">
        <v>69</v>
      </c>
      <c r="G14" s="3" t="b">
        <f t="shared" si="0"/>
        <v>0</v>
      </c>
      <c r="H14" s="6">
        <f>IF(G14=TRUE,($H$7-B14)*D14+F14,0)</f>
        <v>0</v>
      </c>
    </row>
    <row r="15" spans="2:8" ht="29.25" thickBot="1" x14ac:dyDescent="0.25">
      <c r="B15" s="23">
        <v>640</v>
      </c>
      <c r="C15" s="24">
        <v>945</v>
      </c>
      <c r="D15" s="25">
        <v>0.35</v>
      </c>
      <c r="E15" s="179" t="s">
        <v>132</v>
      </c>
      <c r="F15" s="28">
        <v>162</v>
      </c>
      <c r="G15" s="3" t="b">
        <f t="shared" si="0"/>
        <v>0</v>
      </c>
      <c r="H15" s="6">
        <f>IF(G15=TRUE,($H$7-B15)*D15+F15,0)</f>
        <v>0</v>
      </c>
    </row>
    <row r="16" spans="2:8" ht="29.25" thickBot="1" x14ac:dyDescent="0.25">
      <c r="B16" s="23">
        <v>945</v>
      </c>
      <c r="C16" s="24">
        <v>2300</v>
      </c>
      <c r="D16" s="25">
        <v>0.37</v>
      </c>
      <c r="E16" s="179" t="s">
        <v>133</v>
      </c>
      <c r="F16" s="28">
        <v>268</v>
      </c>
      <c r="G16" s="3" t="b">
        <f t="shared" si="0"/>
        <v>0</v>
      </c>
      <c r="H16" s="6">
        <f>IF(G16=TRUE,($H$7-B16)*D16+F16,0)</f>
        <v>0</v>
      </c>
    </row>
    <row r="17" spans="2:8" ht="29.25" thickBot="1" x14ac:dyDescent="0.25">
      <c r="B17" s="23">
        <v>2300</v>
      </c>
      <c r="C17" s="24" t="s">
        <v>1</v>
      </c>
      <c r="D17" s="25">
        <v>0.39</v>
      </c>
      <c r="E17" s="179" t="s">
        <v>134</v>
      </c>
      <c r="F17" s="28">
        <v>770</v>
      </c>
      <c r="G17" s="3" t="b">
        <f t="shared" si="0"/>
        <v>0</v>
      </c>
      <c r="H17" s="6">
        <f>IF(G17=TRUE,($H$7-B17)*D17+F17,0)</f>
        <v>0</v>
      </c>
    </row>
    <row r="18" spans="2:8" ht="13.5" thickBot="1" x14ac:dyDescent="0.25">
      <c r="H18" s="7">
        <f>SUM(H12:H17)</f>
        <v>0</v>
      </c>
    </row>
    <row r="19" spans="2:8" x14ac:dyDescent="0.2">
      <c r="B19" s="30" t="s">
        <v>7</v>
      </c>
      <c r="C19" s="10"/>
    </row>
    <row r="20" spans="2:8" x14ac:dyDescent="0.2">
      <c r="B20" s="10"/>
      <c r="C20" s="10"/>
      <c r="F20" s="180">
        <f>+H7</f>
        <v>0</v>
      </c>
    </row>
    <row r="21" spans="2:8" x14ac:dyDescent="0.2">
      <c r="B21" s="10"/>
      <c r="C21" s="10"/>
      <c r="F21">
        <f>+G21</f>
        <v>145</v>
      </c>
      <c r="G21">
        <v>145</v>
      </c>
    </row>
    <row r="22" spans="2:8" x14ac:dyDescent="0.2">
      <c r="F22" s="4">
        <f>+F20-F21</f>
        <v>-145</v>
      </c>
    </row>
    <row r="23" spans="2:8" x14ac:dyDescent="0.2">
      <c r="F23" s="181">
        <f>+F22*G23</f>
        <v>-40.6</v>
      </c>
      <c r="G23" s="182">
        <v>0.28000000000000003</v>
      </c>
    </row>
    <row r="24" spans="2:8" x14ac:dyDescent="0.2">
      <c r="F24" s="183">
        <f>+F23+G24</f>
        <v>-29.6</v>
      </c>
      <c r="G24">
        <v>11</v>
      </c>
    </row>
    <row r="27" spans="2:8" x14ac:dyDescent="0.2">
      <c r="F27" s="184">
        <f>+H18-F24</f>
        <v>29.6</v>
      </c>
    </row>
    <row r="28" spans="2:8" x14ac:dyDescent="0.2">
      <c r="D28" s="11"/>
    </row>
    <row r="32" spans="2:8" x14ac:dyDescent="0.2">
      <c r="C32" s="12"/>
      <c r="D32" s="9"/>
    </row>
  </sheetData>
  <sheetProtection algorithmName="SHA-512" hashValue="7DDe8MF7y7LavIKneHSafjozRyVu/jodC8l9Nmi98MXLsmxTgD7vooa5/Pn94gjUbGAnT9P+KsZJLUEIlGk90w==" saltValue="LzqfwLL4To47zWi+FKMU9w==" spinCount="100000" sheet="1" objects="1" scenarios="1"/>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36"/>
  <sheetViews>
    <sheetView showGridLines="0" defaultGridColor="0" colorId="23" zoomScale="115" workbookViewId="0">
      <selection activeCell="E8" sqref="E8"/>
    </sheetView>
  </sheetViews>
  <sheetFormatPr baseColWidth="10" defaultColWidth="0" defaultRowHeight="12.75" outlineLevelCol="1" x14ac:dyDescent="0.2"/>
  <cols>
    <col min="1" max="1" width="0.85546875" customWidth="1"/>
    <col min="2" max="2" width="14.7109375" bestFit="1" customWidth="1"/>
    <col min="3" max="3" width="16.7109375" customWidth="1"/>
    <col min="4" max="4" width="14.140625" customWidth="1"/>
    <col min="5" max="5" width="52.42578125" customWidth="1"/>
    <col min="6" max="6" width="13.7109375" hidden="1" customWidth="1" outlineLevel="1"/>
    <col min="7" max="7" width="14.140625" hidden="1" customWidth="1" outlineLevel="1"/>
    <col min="8" max="8" width="15" hidden="1" customWidth="1" outlineLevel="1"/>
    <col min="9" max="9" width="11.42578125" customWidth="1" collapsed="1"/>
  </cols>
  <sheetData>
    <row r="1" spans="2:8" ht="5.25" customHeight="1" x14ac:dyDescent="0.2">
      <c r="E1" s="13"/>
    </row>
    <row r="2" spans="2:8" ht="12" customHeight="1" x14ac:dyDescent="0.2">
      <c r="B2" s="213"/>
      <c r="C2" s="213"/>
      <c r="D2" s="213"/>
      <c r="E2" s="214"/>
    </row>
    <row r="3" spans="2:8" ht="15.75" customHeight="1" x14ac:dyDescent="0.25">
      <c r="B3" s="230"/>
      <c r="C3" s="266" t="s">
        <v>47</v>
      </c>
      <c r="D3" s="266"/>
      <c r="E3" s="266"/>
      <c r="F3" s="26"/>
    </row>
    <row r="4" spans="2:8" ht="17.25" customHeight="1" x14ac:dyDescent="0.2">
      <c r="B4" s="213"/>
      <c r="C4" s="213"/>
      <c r="D4" s="213"/>
      <c r="E4" s="214"/>
    </row>
    <row r="5" spans="2:8" ht="13.5" thickBot="1" x14ac:dyDescent="0.25"/>
    <row r="6" spans="2:8" ht="15.75" thickBot="1" x14ac:dyDescent="0.3">
      <c r="B6" s="273" t="s">
        <v>6</v>
      </c>
      <c r="C6" s="274"/>
      <c r="D6" s="274"/>
      <c r="E6" s="275"/>
    </row>
    <row r="7" spans="2:8" ht="15" customHeight="1" x14ac:dyDescent="0.2">
      <c r="B7" s="16"/>
      <c r="C7" s="1"/>
      <c r="D7" s="1" t="s">
        <v>59</v>
      </c>
      <c r="E7" s="1"/>
      <c r="G7" t="s">
        <v>4</v>
      </c>
      <c r="H7" s="8">
        <f>+D25/PROC1!I14</f>
        <v>0</v>
      </c>
    </row>
    <row r="8" spans="2:8" ht="10.9" customHeight="1" thickBot="1" x14ac:dyDescent="0.25">
      <c r="B8" s="1"/>
      <c r="C8" s="1"/>
      <c r="D8" s="1"/>
      <c r="E8" s="1"/>
    </row>
    <row r="9" spans="2:8" ht="14.25" customHeight="1" x14ac:dyDescent="0.2">
      <c r="B9" s="271" t="s">
        <v>41</v>
      </c>
      <c r="C9" s="272"/>
      <c r="D9" s="278" t="s">
        <v>44</v>
      </c>
      <c r="E9" s="276" t="s">
        <v>45</v>
      </c>
      <c r="F9" s="269" t="s">
        <v>3</v>
      </c>
      <c r="G9" s="267" t="s">
        <v>46</v>
      </c>
      <c r="H9" s="267" t="s">
        <v>4</v>
      </c>
    </row>
    <row r="10" spans="2:8" ht="15" customHeight="1" thickBot="1" x14ac:dyDescent="0.25">
      <c r="B10" s="194" t="s">
        <v>42</v>
      </c>
      <c r="C10" s="195" t="s">
        <v>43</v>
      </c>
      <c r="D10" s="281"/>
      <c r="E10" s="282"/>
      <c r="F10" s="283"/>
      <c r="G10" s="280"/>
      <c r="H10" s="280"/>
    </row>
    <row r="11" spans="2:8" ht="23.25" customHeight="1" thickBot="1" x14ac:dyDescent="0.25">
      <c r="B11" s="17" t="s">
        <v>0</v>
      </c>
      <c r="C11" s="18">
        <v>95</v>
      </c>
      <c r="D11" s="19">
        <v>0</v>
      </c>
      <c r="E11" s="197">
        <v>0</v>
      </c>
      <c r="F11" s="198"/>
      <c r="G11" s="198"/>
      <c r="H11" s="199"/>
    </row>
    <row r="12" spans="2:8" ht="29.25" thickBot="1" x14ac:dyDescent="0.25">
      <c r="B12" s="20">
        <v>95</v>
      </c>
      <c r="C12" s="21">
        <v>150</v>
      </c>
      <c r="D12" s="22">
        <v>0.19</v>
      </c>
      <c r="E12" s="179" t="s">
        <v>129</v>
      </c>
      <c r="F12" s="198"/>
      <c r="G12" s="198" t="b">
        <f t="shared" ref="G12:G17" si="0">AND($H$7&gt;=B12,$H$7&lt;C12)</f>
        <v>0</v>
      </c>
      <c r="H12" s="199">
        <f>IF(G12=TRUE,($H$7-B12)*D12,0)</f>
        <v>0</v>
      </c>
    </row>
    <row r="13" spans="2:8" ht="29.25" thickBot="1" x14ac:dyDescent="0.25">
      <c r="B13" s="20">
        <v>150</v>
      </c>
      <c r="C13" s="21">
        <v>360</v>
      </c>
      <c r="D13" s="22">
        <v>0.28000000000000003</v>
      </c>
      <c r="E13" s="179" t="s">
        <v>130</v>
      </c>
      <c r="F13" s="198">
        <v>10</v>
      </c>
      <c r="G13" s="198" t="b">
        <f t="shared" si="0"/>
        <v>0</v>
      </c>
      <c r="H13" s="199">
        <f>IF(G13=TRUE,($H$7-B13)*D13+F13,0)</f>
        <v>0</v>
      </c>
    </row>
    <row r="14" spans="2:8" ht="29.25" thickBot="1" x14ac:dyDescent="0.25">
      <c r="B14" s="23">
        <v>360</v>
      </c>
      <c r="C14" s="24">
        <v>640</v>
      </c>
      <c r="D14" s="25">
        <v>0.33</v>
      </c>
      <c r="E14" s="179" t="s">
        <v>131</v>
      </c>
      <c r="F14" s="198">
        <v>69</v>
      </c>
      <c r="G14" s="198" t="b">
        <f t="shared" si="0"/>
        <v>0</v>
      </c>
      <c r="H14" s="199">
        <f>IF(G14=TRUE,($H$7-B14)*D14+F14,0)</f>
        <v>0</v>
      </c>
    </row>
    <row r="15" spans="2:8" ht="29.25" thickBot="1" x14ac:dyDescent="0.25">
      <c r="B15" s="23">
        <v>640</v>
      </c>
      <c r="C15" s="24">
        <v>945</v>
      </c>
      <c r="D15" s="25">
        <v>0.35</v>
      </c>
      <c r="E15" s="179" t="s">
        <v>132</v>
      </c>
      <c r="F15" s="198">
        <v>162</v>
      </c>
      <c r="G15" s="198" t="b">
        <f t="shared" si="0"/>
        <v>0</v>
      </c>
      <c r="H15" s="199">
        <f>IF(G15=TRUE,($H$7-B15)*D15+F15,0)</f>
        <v>0</v>
      </c>
    </row>
    <row r="16" spans="2:8" ht="29.25" thickBot="1" x14ac:dyDescent="0.25">
      <c r="B16" s="23">
        <v>945</v>
      </c>
      <c r="C16" s="24">
        <v>2300</v>
      </c>
      <c r="D16" s="25">
        <v>0.37</v>
      </c>
      <c r="E16" s="179" t="s">
        <v>133</v>
      </c>
      <c r="F16" s="198">
        <v>268</v>
      </c>
      <c r="G16" s="198" t="b">
        <f t="shared" si="0"/>
        <v>0</v>
      </c>
      <c r="H16" s="199">
        <f>IF(G16=TRUE,($H$7-B16)*D16+F16,0)</f>
        <v>0</v>
      </c>
    </row>
    <row r="17" spans="2:8" ht="29.25" thickBot="1" x14ac:dyDescent="0.25">
      <c r="B17" s="23">
        <v>2300</v>
      </c>
      <c r="C17" s="24" t="s">
        <v>1</v>
      </c>
      <c r="D17" s="25">
        <v>0.39</v>
      </c>
      <c r="E17" s="179" t="s">
        <v>134</v>
      </c>
      <c r="F17" s="198">
        <v>770</v>
      </c>
      <c r="G17" s="198" t="b">
        <f t="shared" si="0"/>
        <v>0</v>
      </c>
      <c r="H17" s="199">
        <f>IF(G17=TRUE,($H$7-B17)*D17+F17,0)</f>
        <v>0</v>
      </c>
    </row>
    <row r="18" spans="2:8" ht="13.5" thickBot="1" x14ac:dyDescent="0.25">
      <c r="H18" s="196">
        <f>SUM(H12:H17)</f>
        <v>0</v>
      </c>
    </row>
    <row r="19" spans="2:8" x14ac:dyDescent="0.2">
      <c r="B19" s="30" t="s">
        <v>7</v>
      </c>
      <c r="C19" s="10"/>
    </row>
    <row r="20" spans="2:8" x14ac:dyDescent="0.2">
      <c r="B20" s="10"/>
      <c r="C20" s="10"/>
    </row>
    <row r="21" spans="2:8" x14ac:dyDescent="0.2">
      <c r="B21" s="10"/>
      <c r="C21" s="10"/>
    </row>
    <row r="22" spans="2:8" x14ac:dyDescent="0.2">
      <c r="F22" s="4"/>
    </row>
    <row r="23" spans="2:8" x14ac:dyDescent="0.2">
      <c r="B23" t="s">
        <v>61</v>
      </c>
      <c r="D23" s="9">
        <f>+PROC1!E34</f>
        <v>0</v>
      </c>
    </row>
    <row r="24" spans="2:8" x14ac:dyDescent="0.2">
      <c r="B24" t="s">
        <v>62</v>
      </c>
      <c r="D24" s="9">
        <f>+IF((C32&gt;C28),(C28-C30),(C31))</f>
        <v>0</v>
      </c>
    </row>
    <row r="25" spans="2:8" x14ac:dyDescent="0.2">
      <c r="B25" s="43" t="s">
        <v>64</v>
      </c>
      <c r="C25" s="43"/>
      <c r="D25" s="44">
        <f>+D23-D24</f>
        <v>0</v>
      </c>
    </row>
    <row r="28" spans="2:8" x14ac:dyDescent="0.2">
      <c r="B28" t="s">
        <v>63</v>
      </c>
      <c r="C28" s="9">
        <f>240*PROC1!I14</f>
        <v>8713920</v>
      </c>
    </row>
    <row r="30" spans="2:8" x14ac:dyDescent="0.2">
      <c r="B30" s="42" t="s">
        <v>116</v>
      </c>
      <c r="C30" s="9">
        <f>+PROC1!I78</f>
        <v>0</v>
      </c>
    </row>
    <row r="31" spans="2:8" x14ac:dyDescent="0.2">
      <c r="B31" s="42" t="s">
        <v>84</v>
      </c>
      <c r="C31" s="11">
        <f>+D23*0.25</f>
        <v>0</v>
      </c>
    </row>
    <row r="32" spans="2:8" x14ac:dyDescent="0.2">
      <c r="B32" s="43" t="s">
        <v>85</v>
      </c>
      <c r="C32" s="163">
        <f>SUM(C30:C31)</f>
        <v>0</v>
      </c>
      <c r="D32" s="11"/>
    </row>
    <row r="36" spans="3:4" x14ac:dyDescent="0.2">
      <c r="C36" s="12"/>
      <c r="D36" s="9"/>
    </row>
  </sheetData>
  <sheetProtection algorithmName="SHA-512" hashValue="S4Sp7NpadolYUL92S2zgb7UT3XcjqsSd7I5Mm7R0F19IEjOaMwvhAoNdHr0TUlphPxT1ZUoNaJuPs4imD0o9Hw==" saltValue="da+LDutRPqJ+BkLX3XemXA==" spinCount="100000" sheet="1" objects="1" scenarios="1"/>
  <mergeCells count="8">
    <mergeCell ref="G9:G10"/>
    <mergeCell ref="H9:H10"/>
    <mergeCell ref="C3:E3"/>
    <mergeCell ref="B6:E6"/>
    <mergeCell ref="B9:C9"/>
    <mergeCell ref="D9:D10"/>
    <mergeCell ref="E9:E10"/>
    <mergeCell ref="F9:F10"/>
  </mergeCells>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G5" sqref="G5"/>
    </sheetView>
  </sheetViews>
  <sheetFormatPr baseColWidth="10" defaultColWidth="11.5703125" defaultRowHeight="12.75" x14ac:dyDescent="0.2"/>
  <cols>
    <col min="1" max="16384" width="11.5703125" style="42"/>
  </cols>
  <sheetData/>
  <sheetProtection algorithmName="SHA-512" hashValue="j7ALWsgE/xBuvdrXtEKKLmU2c2C39wssLMZZ0kUTC5TldCN+XBoHnfbccgI1BYN7mDCsxPkbMr4XKQenaeo/Cg==" saltValue="A+UpdypOZA83xcmTk4jYyw=="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PROC1</vt:lpstr>
      <vt:lpstr>PRINT1</vt:lpstr>
      <vt:lpstr>NORMA</vt:lpstr>
      <vt:lpstr>TABLA</vt:lpstr>
      <vt:lpstr>Tabprima</vt:lpstr>
      <vt:lpstr>clave</vt:lpstr>
    </vt:vector>
  </TitlesOfParts>
  <Company>W&amp;D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WILIAM</cp:lastModifiedBy>
  <cp:lastPrinted>2021-01-03T20:56:57Z</cp:lastPrinted>
  <dcterms:created xsi:type="dcterms:W3CDTF">2008-06-25T16:51:19Z</dcterms:created>
  <dcterms:modified xsi:type="dcterms:W3CDTF">2021-02-11T20:02:52Z</dcterms:modified>
</cp:coreProperties>
</file>