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720" tabRatio="786" activeTab="0"/>
  </bookViews>
  <sheets>
    <sheet name="Menú" sheetId="1" r:id="rId1"/>
    <sheet name="% Retencion fija" sheetId="2" r:id="rId2"/>
    <sheet name="Depuración mensual" sheetId="3" r:id="rId3"/>
    <sheet name="Tab" sheetId="4" r:id="rId4"/>
    <sheet name="PRINT 1" sheetId="5" r:id="rId5"/>
    <sheet name="PRINT2" sheetId="6" r:id="rId6"/>
    <sheet name="tabla 384" sheetId="7" state="hidden" r:id="rId7"/>
  </sheets>
  <definedNames>
    <definedName name="_xlfn.IFERROR" hidden="1">#NAME?</definedName>
    <definedName name="_xlnm.Print_Area" localSheetId="4">'PRINT 1'!$1:$66</definedName>
    <definedName name="_xlnm.Print_Area" localSheetId="5">'PRINT2'!$A$1:$D$68</definedName>
  </definedNames>
  <calcPr fullCalcOnLoad="1"/>
</workbook>
</file>

<file path=xl/comments2.xml><?xml version="1.0" encoding="utf-8"?>
<comments xmlns="http://schemas.openxmlformats.org/spreadsheetml/2006/main">
  <authors>
    <author>Familia Varon</author>
    <author>familia</author>
    <author>William Dussan</author>
  </authors>
  <commentList>
    <comment ref="F22" authorId="0">
      <text>
        <r>
          <rPr>
            <b/>
            <sz val="9"/>
            <rFont val="Tahoma"/>
            <family val="2"/>
          </rPr>
          <t>Tratándose de pagos indirectos, la DIAN ha sostenido, de manera reiterada, que la totalidad de los pagos efectuados, como remuneración por la prestación de los servicios, son base de retención en la fuente, constituyan o no salario, y sean pagados directamente o no al trabajador. Únicamente los pagos indirectos efectuados por el patrono a terceras personas por concepto de educación y salud, en la parte que no exceda del valor promedio que se reconoce a la generalidad de los trabajadores de la respectiva empresa y cuando correspondan a programas permanentes, estarán excluidos de retención en la fuente. (salarios, vacaciones, pagos adicionales, comisiones, bonificaciones, viáticos permanentes, pagos por compensación, etc.)</t>
        </r>
        <r>
          <rPr>
            <sz val="9"/>
            <rFont val="Tahoma"/>
            <family val="2"/>
          </rPr>
          <t xml:space="preserve">
</t>
        </r>
      </text>
    </comment>
    <comment ref="D62" authorId="1">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18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r>
          <rPr>
            <b/>
            <sz val="9"/>
            <rFont val="Tahoma"/>
            <family val="2"/>
          </rPr>
          <t xml:space="preserve">
Se podrá deducir por concepto de dependientes hasta el diez por ciento (10%) de los ingresos brutos provenientes de la relación laboral o legal y reglamentaria correspondientes a los doce (12) meses objeto de promedio, sin exceder de treinta y dos (32) UVT mensuales (Oficio 038923 de Junio de 2013)
</t>
        </r>
      </text>
    </comment>
    <comment ref="G47" authorId="1">
      <text>
        <r>
          <rPr>
            <b/>
            <sz val="8"/>
            <rFont val="Tahoma"/>
            <family val="2"/>
          </rPr>
          <t>Por su parte, la renta exenta por concepto de aportes obligatorios y voluntarios a pensiones y ahorro en cuentas AFC, no podrá exceder del treinta por ciento (30%) del ingreso laboral y hasta un monto máximo de tres mil ochocientas (3.800) UVT anuales. (Oficio 038923 de Junio de 2013)</t>
        </r>
        <r>
          <rPr>
            <sz val="8"/>
            <rFont val="Tahoma"/>
            <family val="2"/>
          </rPr>
          <t xml:space="preserve">
</t>
        </r>
      </text>
    </comment>
    <comment ref="D60" authorId="2">
      <text>
        <r>
          <rPr>
            <sz val="9"/>
            <rFont val="Tahoma"/>
            <family val="2"/>
          </rPr>
          <t>El valor deducible será el que  conste en el mencionado certificado, sin que exceda de cien (100) Unidades de Valor Tributario -UVT mensuales.
En el caso de préstamos obtenidos por el trabajador en el año en el cual se efectúa la retención, el valor mensualmente deducible será el de los intereses y corrección monetaria correspondientes al primer mes de vigencia del préstamo, según certificación expedida por la entidad que lo otorga, sin que exceda de cien (100) Unidades de Valor Tributario -UVT mensuales.  (DUR 1625 de 2016  Art. 1.2.4.1.27)</t>
        </r>
      </text>
    </comment>
  </commentList>
</comments>
</file>

<file path=xl/comments3.xml><?xml version="1.0" encoding="utf-8"?>
<comments xmlns="http://schemas.openxmlformats.org/spreadsheetml/2006/main">
  <authors>
    <author>familia</author>
    <author>William Dussan</author>
  </authors>
  <commentList>
    <comment ref="D63" authorId="0">
      <text>
        <r>
          <rPr>
            <b/>
            <sz val="9"/>
            <rFont val="Tahoma"/>
            <family val="2"/>
          </rPr>
          <t xml:space="preserve">Los pagos efectuados en el año gravable inmediatamente anterior por concepto de intereses o corrección monetaria en virtud de préstamos para la adquisición de vivienda o costo financiero en virtud de un contrato de leasing que tenga por objeto un bien inmueble destinado a vivienda del trabajador, sin exceder de cien (100) UVT mensuales (artículos 119 y 387 E.T.). Oficio 041556 de 2013 (Julio 8) </t>
        </r>
      </text>
    </comment>
    <comment ref="D64" authorId="0">
      <text>
        <r>
          <rPr>
            <b/>
            <sz val="9"/>
            <rFont val="Tahoma"/>
            <family val="2"/>
          </rPr>
          <t xml:space="preserve">Art 387 ET, </t>
        </r>
        <r>
          <rPr>
            <sz val="9"/>
            <rFont val="Tahoma"/>
            <family val="2"/>
          </rPr>
          <t xml:space="preserve">El trabajador podrá disminuir de su base de retención lo dispuesto en el inciso anterior; los pagos por salud, siempre que el valor a disminuir mensualmente, en este último caso, no supere dieciséis (16) UVT mensuales;. 
Los pagos por salud deberán cumplir las condiciones de control que señale el Gobierno Nacional:
a) Los pagos efectuados por contratos de prestación de servicios a empresas de medicina prepagada vigiladas por la Superintendencia Nacional de Salud, que impliquen protección al trabajador, su cónyuge, sus hijos y/o dependientes.
b) Los pagos efectuados por seguros de salud, expedidos por compañías de seguros vigiladas por la Superintendencia Financiera de Colombia, con la misma limitación del literal anterior.
</t>
        </r>
        <r>
          <rPr>
            <b/>
            <sz val="9"/>
            <rFont val="Tahoma"/>
            <family val="2"/>
          </rPr>
          <t>PARÁGRAFO 1o.</t>
        </r>
        <r>
          <rPr>
            <sz val="9"/>
            <rFont val="Tahoma"/>
            <family val="2"/>
          </rPr>
          <t xml:space="preserve"> Cuando se trate del Procedimiento de Retención número dos, el valor que sea procedente disminuir mensualmente, determinado en la forma señalada en el presente artículo, se tendrá en cuenta tanto para calcular el porcentaje fijo de retención semestral, como para determinar la base sometida a retención.</t>
        </r>
      </text>
    </comment>
    <comment ref="D65" authorId="1">
      <text>
        <r>
          <rPr>
            <sz val="9"/>
            <rFont val="Tahoma"/>
            <family val="2"/>
          </rPr>
          <t>1. Los hijos del contribuyente que tengan hasta 18 años de edad.
2. Los hijos del contribuyente con edad entre 18 y 23 años, cuando el padre o madre contribuyente persona natural se encuentre financiando su educación en instituciones formales de educación superior certificadas por el ICFES o la autoridad oficial correspondiente; o en los programas técnicos de educación no formal debidamente acreditados por la autoridad competente.
3. Los hijos del contribuyente mayores de 18 años que se encuentren en situación de dependencia originada en factores físicos o psicológicos que sean certificados por Medicina Legal.
4. El cónyuge o compañero permanente del contribuyente que se encuentre en situación de dependencia sea por ausencia de ingresos o ingresos en el año menores a doscientas sesenta (260) UVT, certificada por contador público, o por dependencia originada en factores físicos o psicológicos que sean certificados por Medicina Legal, y,
5. Los padres y los hermanos del contribuyente que se encuentren en situación de dependencia, sea por ausencia de ingresos o ingresos en el año menores a doscientas sesenta (260) UVT, certificada por contador público, o por dependencia originada en factores físicos o psicológicos que sean certificados por Medicina Legal.</t>
        </r>
      </text>
    </comment>
  </commentList>
</comments>
</file>

<file path=xl/sharedStrings.xml><?xml version="1.0" encoding="utf-8"?>
<sst xmlns="http://schemas.openxmlformats.org/spreadsheetml/2006/main" count="243" uniqueCount="189">
  <si>
    <t>DEPURACION</t>
  </si>
  <si>
    <t>LIMITES</t>
  </si>
  <si>
    <t>&gt;0</t>
  </si>
  <si>
    <t>En adelante</t>
  </si>
  <si>
    <t>IMPUESTO</t>
  </si>
  <si>
    <t>RANGOS EN  UVT</t>
  </si>
  <si>
    <t>TARIFA MARGINAL</t>
  </si>
  <si>
    <t>MÁS</t>
  </si>
  <si>
    <t>UVT</t>
  </si>
  <si>
    <t>TENER EN CUENTA EL ART 386 CUANDO EL TRABAJADOR LABORE MENOS DE 12 MESES</t>
  </si>
  <si>
    <t xml:space="preserve">100 UVT </t>
  </si>
  <si>
    <t xml:space="preserve">(15% de los Ing. Gravados) </t>
  </si>
  <si>
    <t>Sin límites</t>
  </si>
  <si>
    <t>RESULTADO</t>
  </si>
  <si>
    <t xml:space="preserve"> </t>
  </si>
  <si>
    <t>Vacaciones</t>
  </si>
  <si>
    <t>Horas extras</t>
  </si>
  <si>
    <t>Comisiones</t>
  </si>
  <si>
    <t>Auxilio de transporte</t>
  </si>
  <si>
    <t>Conceptos</t>
  </si>
  <si>
    <t>Base</t>
  </si>
  <si>
    <t>Limites</t>
  </si>
  <si>
    <t>Depuración</t>
  </si>
  <si>
    <t>Valor UVT</t>
  </si>
  <si>
    <t>Otros (Extras, Comisiones, Auxilios, Bonificaciones, Subsidios, Etc.)</t>
  </si>
  <si>
    <t>Total pagos laborales en el periodo</t>
  </si>
  <si>
    <t>Sub total  (A)</t>
  </si>
  <si>
    <t>Sub total  (B)</t>
  </si>
  <si>
    <t>Intereses de cesantías</t>
  </si>
  <si>
    <t xml:space="preserve">Valor UVT </t>
  </si>
  <si>
    <t>Datos</t>
  </si>
  <si>
    <t>Total pagos laborales en el mes</t>
  </si>
  <si>
    <t>Sueldos</t>
  </si>
  <si>
    <t>Bonificaciones</t>
  </si>
  <si>
    <t>Prestaciones extralegales</t>
  </si>
  <si>
    <t>Prima de servicios</t>
  </si>
  <si>
    <t>Indemnizaciones (accidente de trabajo, maternidad, enfermedad)</t>
  </si>
  <si>
    <t>30% del Ingreso tributario del año y hasta  3.800 UVT anuales (316,66 UVT Mensuales)</t>
  </si>
  <si>
    <t>UVT 2013</t>
  </si>
  <si>
    <t>100 UVT , promedio año anterior</t>
  </si>
  <si>
    <t>16 UVT</t>
  </si>
  <si>
    <t>Subtotal  (C)</t>
  </si>
  <si>
    <t>Total deducciones</t>
  </si>
  <si>
    <t>Ingreso mensual promedio expresados en UVT</t>
  </si>
  <si>
    <t>Total rentas exentas</t>
  </si>
  <si>
    <t>Total ingresos no constitutivos de renta ni ganancia ocasional</t>
  </si>
  <si>
    <t>Viáticos</t>
  </si>
  <si>
    <t>Cesantías efectivamente pagadas al trabajador</t>
  </si>
  <si>
    <t>Menos renta exenta del 25% del Subtotal (c) (Art. 3 206 ET literal 10)</t>
  </si>
  <si>
    <t>Aportes a Fondos de Pensiones Voluntarias (art. 126-1 ET)</t>
  </si>
  <si>
    <t>Fondo de Solidaridad Pensional</t>
  </si>
  <si>
    <t>RF Empleados - mínima</t>
  </si>
  <si>
    <t>RANGO Pago mensual o mensualizado (PM) desde (en UVT)</t>
  </si>
  <si>
    <t>Retención (en UVT)</t>
  </si>
  <si>
    <t>RANGO  Pago mensual o mensualizado (PM) desde (en $)</t>
  </si>
  <si>
    <t>27%*PM-135,17</t>
  </si>
  <si>
    <t>Base retención mínima</t>
  </si>
  <si>
    <t>Ingresos laborales</t>
  </si>
  <si>
    <t>Pagos salud empleado</t>
  </si>
  <si>
    <t>Año actual</t>
  </si>
  <si>
    <t>Pago pensiones obligatorias</t>
  </si>
  <si>
    <t>Pago Fondo solidaridad pensional</t>
  </si>
  <si>
    <t>Base gravable UVT</t>
  </si>
  <si>
    <t>Retención en la fuente mínima en UVT</t>
  </si>
  <si>
    <t>Retención en la fuente mínima en $</t>
  </si>
  <si>
    <t>Total ingresos del periodo</t>
  </si>
  <si>
    <t>Base Gravable Anual</t>
  </si>
  <si>
    <t>Declarante</t>
  </si>
  <si>
    <t>TOTAL INGRESOS AÑO ANTERIOR</t>
  </si>
  <si>
    <t>No declarante</t>
  </si>
  <si>
    <t>Formulas Limites</t>
  </si>
  <si>
    <t>Sueldo</t>
  </si>
  <si>
    <t>Recargos nocturnos y dominicales</t>
  </si>
  <si>
    <t>Otros auxilios (movilidad, alimentación, etc.)</t>
  </si>
  <si>
    <t>Incapacidades</t>
  </si>
  <si>
    <t>Prima</t>
  </si>
  <si>
    <t>Primas extralegales</t>
  </si>
  <si>
    <t>Total Ingresos mes</t>
  </si>
  <si>
    <t>Subtotal  (A)</t>
  </si>
  <si>
    <t>Menos rentas exentas</t>
  </si>
  <si>
    <t>Subtotal  (B)</t>
  </si>
  <si>
    <t>Menos renta exenta -25%  del subtotal (C)  (Numeral 10 art. 206 ET)</t>
  </si>
  <si>
    <t>Base Gravable (Ver Tabla)</t>
  </si>
  <si>
    <t>Menos ingresos no constitutivos de renta ni ganancia ocasional del periodo (diciembre a noviembre, o Junio a mayo)</t>
  </si>
  <si>
    <t>Menos rentas exentas del periodo (diciembre a noviembre, o Junio a mayo) (Art. 206 ET)</t>
  </si>
  <si>
    <t>Intereses por prestamos de vivienda (promedio año anterior o los meses correspondientes)</t>
  </si>
  <si>
    <t>Pagos por salud prepagada, Plan complementario de salud, o seguros de salud (art 387 ET)- Promedio del año anterior</t>
  </si>
  <si>
    <t>Horas extras y otros recargos</t>
  </si>
  <si>
    <t>Aportes obligatorios a Fondos de Pensiones (art. 55 ET)</t>
  </si>
  <si>
    <t>Aportes obligatorios al sistema de salud (art. 56 ET)</t>
  </si>
  <si>
    <t>Pagos por salud prepagada, Plan complementario de salud, o seguros de salud (art 387 ET)</t>
  </si>
  <si>
    <t>Número de meses para el cálculo</t>
  </si>
  <si>
    <t>Nombre del empleado</t>
  </si>
  <si>
    <t>PROCEDIMIENTO N.2</t>
  </si>
  <si>
    <t>UVT 2021</t>
  </si>
  <si>
    <t>DETERMINACIÓN DEL PORCENTAJE FIJO DE RETENCIÓN</t>
  </si>
  <si>
    <t>NIT del empleador</t>
  </si>
  <si>
    <t>Nombre del empleador</t>
  </si>
  <si>
    <t>25 % del ingreso laboral y hasta 2.500 UVT</t>
  </si>
  <si>
    <t>Límites</t>
  </si>
  <si>
    <t>Límites2</t>
  </si>
  <si>
    <r>
      <t xml:space="preserve">Aportes voluntarios a fondos de pensiones obligatorios </t>
    </r>
    <r>
      <rPr>
        <sz val="8"/>
        <rFont val="Arial"/>
        <family val="2"/>
      </rPr>
      <t>(Régimen ahorro individual) (Art. 55 ET)</t>
    </r>
  </si>
  <si>
    <t>100 UVT Mensual</t>
  </si>
  <si>
    <t>Menos deducciones del periodo (diciembre a noviembre, o Junio a mayo)</t>
  </si>
  <si>
    <t>Indemnizaciones por accidentes de trabajo o enfermedad (art 206 ET Num 1)</t>
  </si>
  <si>
    <t>Indemnizaciones proteccion a la maternidad (art 206 ET Num 2)</t>
  </si>
  <si>
    <t>Gastos de entierro del trabajador (art 206 ET Num 3)</t>
  </si>
  <si>
    <t>Otras rentas exentas (Art. 206 ET)</t>
  </si>
  <si>
    <t>(Ingreso laboral gravado expresado en UVT menos 95 UVT)*19%</t>
  </si>
  <si>
    <t>(Ingreso laboral gravado expresado en UVT menos 150 UVT)*28% más 10 UVT</t>
  </si>
  <si>
    <t>(Ingreso laboral gravado expresado en UVT menos 360 UVT)*33% más 69 UVT</t>
  </si>
  <si>
    <t>(Ingreso laboral gravado expresado en UVT menos 640 UVT)*35% más 162 UVT</t>
  </si>
  <si>
    <t>(Ingreso laboral gravado expresado en UVT menos 945 UVT)*37% más 268 UVT</t>
  </si>
  <si>
    <t>(Ingreso laboral gravado expresado en UVT menos 2300 UVT)*39% más 770 UVT</t>
  </si>
  <si>
    <t>UVT AÑO</t>
  </si>
  <si>
    <t>UVT BASE</t>
  </si>
  <si>
    <t>Desde</t>
  </si>
  <si>
    <t>Hasta</t>
  </si>
  <si>
    <t xml:space="preserve">   Art. 383 del ET </t>
  </si>
  <si>
    <t xml:space="preserve">         PROCEDIMIENTO N. 2  (RETENCIÓN POR SALARIOS)</t>
  </si>
  <si>
    <t>Este procedimiento N.2 implica inicialmente determinar en los meses de diciembre y junio el % fijo que se debe aplicar en la depuración mensual del siguiente semestre.</t>
  </si>
  <si>
    <t>Es decir, el porcentaje que calcúle en diciembre aplica para enero a junio del siguiente año. Y el porcentaje que calcúle en junio aplica para julio a diciembre.</t>
  </si>
  <si>
    <t>En ese orden de ideas: 1) Calcúle el % fijo, y 2) Cada mes realice la depuración mensual aplicando dicho porcentaje fijo.</t>
  </si>
  <si>
    <t>Procedimiento No. 2  (Cálculo de la retención mensual)</t>
  </si>
  <si>
    <t>CÁLCULO DE LA RETENCIÓN POR SALARIOS MENSUAL</t>
  </si>
  <si>
    <t xml:space="preserve">                  TABLA  DE RETENCION EN LA FUENTE PARA INGRESOS LABORALES</t>
  </si>
  <si>
    <t>Fecha del cálculo del % Fijo</t>
  </si>
  <si>
    <t>Porcentaje fijo de retención Art 383 ET. A utilizar en el siguiente semestre</t>
  </si>
  <si>
    <t>CÁLCULO EN UVT</t>
  </si>
  <si>
    <t xml:space="preserve">BASE GRAVABLE DE CALCULO </t>
  </si>
  <si>
    <t>BASE GRAVABLE PROMEDIO (Base dividida en 13 o números de meses cuando es inferior a un año)</t>
  </si>
  <si>
    <t>% FIJO</t>
  </si>
  <si>
    <t>Cálculo mensual</t>
  </si>
  <si>
    <t>Total rentas exentas (Art. 206 ET)</t>
  </si>
  <si>
    <t>Periodo</t>
  </si>
  <si>
    <t>Licencia de maternidad</t>
  </si>
  <si>
    <t>Cesantías (no se tienen en cuenta para efectos de la retención en la fuente)</t>
  </si>
  <si>
    <t>Intereses sobre cesantías  (no se tienen en cuenta para efectos de la retención en la fuente)</t>
  </si>
  <si>
    <t>Otros ingresos laborales- Bonos, cheques electrónicos, pagos indirectos</t>
  </si>
  <si>
    <t>Menos ingresos no constitutivos de renta ni ganancia ocasional del mes</t>
  </si>
  <si>
    <t>SI</t>
  </si>
  <si>
    <t>NO</t>
  </si>
  <si>
    <t xml:space="preserve">30% del Ingreso tributario del año y hasta  3.800 UVT anuales </t>
  </si>
  <si>
    <t>Menos deducciones del mes</t>
  </si>
  <si>
    <t>Seleccione "SI" si tiene derecho a dependientes (Art 387 ET)</t>
  </si>
  <si>
    <t>Retención en le fuente a practicar en el mes por el proc-2</t>
  </si>
  <si>
    <t>Porcentaje fijo de retención por salarios proc-2  determinado en el mes de:</t>
  </si>
  <si>
    <t>Porcentaje fijo de retención por salarios proc-2</t>
  </si>
  <si>
    <t>El aplicativo controla los límites que se establecen en la normatividad.</t>
  </si>
  <si>
    <t>Intereses por prestamos de vivienda (Incluido Leasing Habitacional)</t>
  </si>
  <si>
    <t>Aportes con destino a cuentas AFC, AVC (art 126-4 ET)</t>
  </si>
  <si>
    <t>EMPRESA DE EJEMPLO</t>
  </si>
  <si>
    <t>William Dussan Salazar</t>
  </si>
  <si>
    <t>Hasta 10%  de los ingresos y hasta 32 UVT</t>
  </si>
  <si>
    <t>Hasta 10% de los ingresos y hasta 32 UVT</t>
  </si>
  <si>
    <t xml:space="preserve">   PROCEDIMIENTO N.2  </t>
  </si>
  <si>
    <t>UVT AÑO DEL CÁLCULO MENSUAL</t>
  </si>
  <si>
    <t>UVT AÑO DEL CÁLCULO % FIJO</t>
  </si>
  <si>
    <t xml:space="preserve">    Aplicable al año 2023</t>
  </si>
  <si>
    <t>Total Dic 2021 a Nov 2022</t>
  </si>
  <si>
    <t>Total junio 2022 a mayo 2023</t>
  </si>
  <si>
    <t>LIMITE GENERAL DE RENTAS EXENTAS Y DEDUCCIONES   40% DEL INGRESO NETO Y HASTA 1.340 UVT</t>
  </si>
  <si>
    <t>Diciembre de 2022</t>
  </si>
  <si>
    <t>Junio de 2023</t>
  </si>
  <si>
    <t>Aplicable al año 2023</t>
  </si>
  <si>
    <t xml:space="preserve"> Enero 2023</t>
  </si>
  <si>
    <t xml:space="preserve"> Febrero 2023</t>
  </si>
  <si>
    <t xml:space="preserve"> Marzo 2023</t>
  </si>
  <si>
    <t xml:space="preserve"> Abril 2023</t>
  </si>
  <si>
    <t xml:space="preserve"> Mayo 2023</t>
  </si>
  <si>
    <t xml:space="preserve"> Junio 2023</t>
  </si>
  <si>
    <t xml:space="preserve"> Julio 2023</t>
  </si>
  <si>
    <t xml:space="preserve"> Agosto 2023</t>
  </si>
  <si>
    <t xml:space="preserve"> Septiembre 2023</t>
  </si>
  <si>
    <t xml:space="preserve"> Octubre 2023</t>
  </si>
  <si>
    <t xml:space="preserve"> Noviembre 2023</t>
  </si>
  <si>
    <t xml:space="preserve"> Diciembre 2023</t>
  </si>
  <si>
    <t>790 UVT Anual</t>
  </si>
  <si>
    <t>Desde el año 2023, el límite 2 de la renta exenta es de 790 UVT anual, y el 2 Límite de las rentas exentas y deducciones pasa a ser 1.340 UVT Anual</t>
  </si>
  <si>
    <t>Revise los cambios de este tema anterior en las filas que se manejan para ese fin en el cálculo de la retención mensual</t>
  </si>
  <si>
    <t>Revise la UVT a utilizar el cálculo</t>
  </si>
  <si>
    <t>240 UVT por mes</t>
  </si>
  <si>
    <t>LIMITE GENERAL DE RENTAS EXENTAS Y DEDUCCIONES   40% DEL INGRESO NETO Y HASTA 5.040 UVT</t>
  </si>
  <si>
    <t>Procedimiento No. 2  (Determinación del % fijo) con límites 2022 antes de Reforma T.</t>
  </si>
  <si>
    <t>Esta versión toma límites de rentas exentas vigentes antes de reforma tributaria</t>
  </si>
  <si>
    <t>Esta versión del cálculo del % fijo para diciembre de 2022 que aplica para el siguiente semestre se calcula utilizando los límites vigentes hasta antes de la reforma tributaria</t>
  </si>
  <si>
    <t>Si no está de acuerdo, descargue nuestra otra versión, que aplica los límites ya de la nueva reforma tributaria, para los que deseen ser mas conservadores y que la retefuente</t>
  </si>
  <si>
    <t>guarde correspondencia con el impuesto que deberá pagar en la renta del año gravable 2023.</t>
  </si>
  <si>
    <t>Versión  2023 (Actualizado 9/02/2023)  Con limites de 2022 antes de reforma T</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</si>
</sst>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quot;$&quot;\ * #,##0.00_ ;_ &quot;$&quot;\ * \-#,##0.00_ ;_ &quot;$&quot;\ * &quot;-&quot;??_ ;_ @_ "/>
    <numFmt numFmtId="193" formatCode="_ * #,##0.00_ ;_ * \-#,##0.00_ ;_ * &quot;-&quot;??_ ;_ @_ "/>
    <numFmt numFmtId="194" formatCode="_ * #,##0.0_ ;_ * \-#,##0.0_ ;_ * &quot;-&quot;??_ ;_ @_ "/>
    <numFmt numFmtId="195" formatCode="_ * #,##0_ ;_ * \-#,##0_ ;_ * &quot;-&quot;??_ ;_ @_ "/>
    <numFmt numFmtId="196" formatCode="0.0"/>
    <numFmt numFmtId="197" formatCode="_ &quot;$&quot;\ * #,##0_ ;_ &quot;$&quot;\ * \-#,##0_ ;_ &quot;$&quot;\ * &quot;-&quot;??_ ;_ @_ "/>
    <numFmt numFmtId="198" formatCode="0.0%"/>
    <numFmt numFmtId="199" formatCode="0_ ;\-0\ "/>
    <numFmt numFmtId="200" formatCode="[$-C0A]d\-mmm\-yy;@"/>
    <numFmt numFmtId="201" formatCode="0.000%"/>
    <numFmt numFmtId="202" formatCode="yyyy\-mm\-dd;@"/>
    <numFmt numFmtId="203" formatCode="d\-m;@"/>
  </numFmts>
  <fonts count="144">
    <font>
      <sz val="10"/>
      <name val="Arial"/>
      <family val="0"/>
    </font>
    <font>
      <sz val="11"/>
      <color indexed="8"/>
      <name val="Calibri"/>
      <family val="2"/>
    </font>
    <font>
      <sz val="8"/>
      <name val="Arial"/>
      <family val="2"/>
    </font>
    <font>
      <b/>
      <sz val="10"/>
      <name val="Arial"/>
      <family val="2"/>
    </font>
    <font>
      <sz val="11"/>
      <name val="Arial"/>
      <family val="2"/>
    </font>
    <font>
      <b/>
      <sz val="10"/>
      <color indexed="9"/>
      <name val="Arial"/>
      <family val="2"/>
    </font>
    <font>
      <sz val="10"/>
      <color indexed="9"/>
      <name val="Arial"/>
      <family val="2"/>
    </font>
    <font>
      <u val="single"/>
      <sz val="10"/>
      <color indexed="12"/>
      <name val="Arial"/>
      <family val="2"/>
    </font>
    <font>
      <b/>
      <sz val="9"/>
      <name val="Arial"/>
      <family val="2"/>
    </font>
    <font>
      <sz val="10"/>
      <color indexed="13"/>
      <name val="Arial"/>
      <family val="2"/>
    </font>
    <font>
      <sz val="10"/>
      <color indexed="12"/>
      <name val="Arial"/>
      <family val="2"/>
    </font>
    <font>
      <sz val="10"/>
      <color indexed="10"/>
      <name val="Arial"/>
      <family val="2"/>
    </font>
    <font>
      <b/>
      <sz val="10"/>
      <name val="Tahoma"/>
      <family val="2"/>
    </font>
    <font>
      <b/>
      <sz val="12"/>
      <name val="Arial"/>
      <family val="2"/>
    </font>
    <font>
      <b/>
      <sz val="9"/>
      <name val="Tahoma"/>
      <family val="2"/>
    </font>
    <font>
      <sz val="9"/>
      <name val="Tahoma"/>
      <family val="2"/>
    </font>
    <font>
      <b/>
      <sz val="14"/>
      <color indexed="53"/>
      <name val="Arial"/>
      <family val="2"/>
    </font>
    <font>
      <b/>
      <sz val="16"/>
      <color indexed="11"/>
      <name val="Arial"/>
      <family val="2"/>
    </font>
    <font>
      <b/>
      <sz val="14"/>
      <color indexed="11"/>
      <name val="Arial"/>
      <family val="2"/>
    </font>
    <font>
      <b/>
      <sz val="14"/>
      <color indexed="13"/>
      <name val="Arial"/>
      <family val="2"/>
    </font>
    <font>
      <sz val="11"/>
      <color indexed="13"/>
      <name val="Arial"/>
      <family val="2"/>
    </font>
    <font>
      <b/>
      <sz val="10"/>
      <color indexed="12"/>
      <name val="Arial"/>
      <family val="2"/>
    </font>
    <font>
      <sz val="12"/>
      <name val="Arial"/>
      <family val="2"/>
    </font>
    <font>
      <sz val="10"/>
      <color indexed="18"/>
      <name val="Arial"/>
      <family val="2"/>
    </font>
    <font>
      <b/>
      <sz val="10"/>
      <color indexed="13"/>
      <name val="Arial"/>
      <family val="2"/>
    </font>
    <font>
      <b/>
      <sz val="11"/>
      <color indexed="13"/>
      <name val="Arial"/>
      <family val="2"/>
    </font>
    <font>
      <b/>
      <sz val="12"/>
      <color indexed="53"/>
      <name val="Arial"/>
      <family val="2"/>
    </font>
    <font>
      <sz val="7"/>
      <name val="Arial"/>
      <family val="2"/>
    </font>
    <font>
      <b/>
      <sz val="7"/>
      <name val="Arial"/>
      <family val="2"/>
    </font>
    <font>
      <sz val="8"/>
      <color indexed="9"/>
      <name val="Arial"/>
      <family val="2"/>
    </font>
    <font>
      <b/>
      <sz val="10"/>
      <color indexed="10"/>
      <name val="Arial"/>
      <family val="2"/>
    </font>
    <font>
      <sz val="12"/>
      <color indexed="9"/>
      <name val="Arial"/>
      <family val="2"/>
    </font>
    <font>
      <b/>
      <sz val="8"/>
      <name val="Arial"/>
      <family val="2"/>
    </font>
    <font>
      <b/>
      <sz val="11"/>
      <name val="Arial"/>
      <family val="2"/>
    </font>
    <font>
      <b/>
      <sz val="14"/>
      <name val="Arial"/>
      <family val="2"/>
    </font>
    <font>
      <b/>
      <sz val="10"/>
      <color indexed="53"/>
      <name val="Arial"/>
      <family val="2"/>
    </font>
    <font>
      <sz val="10"/>
      <color indexed="8"/>
      <name val="Arial"/>
      <family val="2"/>
    </font>
    <font>
      <b/>
      <sz val="8"/>
      <name val="Tahoma"/>
      <family val="2"/>
    </font>
    <font>
      <sz val="8"/>
      <name val="Tahoma"/>
      <family val="2"/>
    </font>
    <font>
      <b/>
      <sz val="16"/>
      <name val="Arial"/>
      <family val="2"/>
    </font>
    <font>
      <b/>
      <sz val="18"/>
      <name val="Arial"/>
      <family val="2"/>
    </font>
    <font>
      <b/>
      <sz val="20"/>
      <name val="Arial"/>
      <family val="2"/>
    </font>
    <font>
      <i/>
      <sz val="10"/>
      <name val="Arial"/>
      <family val="2"/>
    </font>
    <font>
      <sz val="9"/>
      <color indexed="13"/>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sz val="12"/>
      <color indexed="63"/>
      <name val="Arial"/>
      <family val="2"/>
    </font>
    <font>
      <sz val="12"/>
      <color indexed="63"/>
      <name val="Arial"/>
      <family val="2"/>
    </font>
    <font>
      <sz val="6"/>
      <color indexed="9"/>
      <name val="Arial"/>
      <family val="2"/>
    </font>
    <font>
      <b/>
      <sz val="7"/>
      <color indexed="10"/>
      <name val="Arial"/>
      <family val="2"/>
    </font>
    <font>
      <sz val="7"/>
      <color indexed="10"/>
      <name val="Arial"/>
      <family val="2"/>
    </font>
    <font>
      <sz val="8"/>
      <color indexed="10"/>
      <name val="Arial"/>
      <family val="2"/>
    </font>
    <font>
      <u val="single"/>
      <sz val="10"/>
      <color indexed="9"/>
      <name val="Arial"/>
      <family val="2"/>
    </font>
    <font>
      <b/>
      <sz val="12"/>
      <color indexed="9"/>
      <name val="Arial"/>
      <family val="2"/>
    </font>
    <font>
      <b/>
      <sz val="8"/>
      <color indexed="9"/>
      <name val="Arial"/>
      <family val="2"/>
    </font>
    <font>
      <sz val="10"/>
      <color indexed="30"/>
      <name val="Arial"/>
      <family val="2"/>
    </font>
    <font>
      <b/>
      <sz val="14"/>
      <color indexed="26"/>
      <name val="Arial"/>
      <family val="2"/>
    </font>
    <font>
      <b/>
      <sz val="10"/>
      <color indexed="8"/>
      <name val="Arial"/>
      <family val="2"/>
    </font>
    <font>
      <b/>
      <sz val="10"/>
      <color indexed="40"/>
      <name val="Arial"/>
      <family val="2"/>
    </font>
    <font>
      <sz val="10"/>
      <color indexed="40"/>
      <name val="Arial"/>
      <family val="2"/>
    </font>
    <font>
      <b/>
      <sz val="9"/>
      <color indexed="40"/>
      <name val="Arial"/>
      <family val="2"/>
    </font>
    <font>
      <b/>
      <sz val="9"/>
      <color indexed="10"/>
      <name val="Arial"/>
      <family val="2"/>
    </font>
    <font>
      <sz val="7"/>
      <color indexed="9"/>
      <name val="Arial"/>
      <family val="2"/>
    </font>
    <font>
      <b/>
      <sz val="11"/>
      <color indexed="10"/>
      <name val="Arial"/>
      <family val="2"/>
    </font>
    <font>
      <u val="single"/>
      <sz val="10"/>
      <color indexed="10"/>
      <name val="Arial"/>
      <family val="2"/>
    </font>
    <font>
      <b/>
      <sz val="8"/>
      <color indexed="10"/>
      <name val="Arial"/>
      <family val="2"/>
    </font>
    <font>
      <sz val="11"/>
      <color indexed="8"/>
      <name val="Arial"/>
      <family val="2"/>
    </font>
    <font>
      <b/>
      <sz val="11"/>
      <color indexed="8"/>
      <name val="Arial"/>
      <family val="2"/>
    </font>
    <font>
      <sz val="12"/>
      <color indexed="10"/>
      <name val="Arial"/>
      <family val="2"/>
    </font>
    <font>
      <sz val="9"/>
      <color indexed="10"/>
      <name val="Arial"/>
      <family val="2"/>
    </font>
    <font>
      <b/>
      <sz val="24"/>
      <color indexed="9"/>
      <name val="Arial"/>
      <family val="2"/>
    </font>
    <font>
      <sz val="18"/>
      <color indexed="9"/>
      <name val="Arial"/>
      <family val="2"/>
    </font>
    <font>
      <sz val="14"/>
      <color indexed="8"/>
      <name val="Arial"/>
      <family val="2"/>
    </font>
    <font>
      <sz val="10.5"/>
      <color indexed="8"/>
      <name val="Calibri"/>
      <family val="2"/>
    </font>
    <font>
      <b/>
      <sz val="10.5"/>
      <color indexed="51"/>
      <name val="Calibri"/>
      <family val="2"/>
    </font>
    <font>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0"/>
      <color theme="0"/>
      <name val="Arial"/>
      <family val="2"/>
    </font>
    <font>
      <sz val="12"/>
      <color theme="1"/>
      <name val="Arial"/>
      <family val="2"/>
    </font>
    <font>
      <b/>
      <sz val="12"/>
      <color rgb="FF221F1F"/>
      <name val="Arial"/>
      <family val="2"/>
    </font>
    <font>
      <sz val="12"/>
      <color rgb="FF221F1F"/>
      <name val="Arial"/>
      <family val="2"/>
    </font>
    <font>
      <sz val="10"/>
      <color rgb="FFFF0000"/>
      <name val="Arial"/>
      <family val="2"/>
    </font>
    <font>
      <sz val="6"/>
      <color theme="0"/>
      <name val="Arial"/>
      <family val="2"/>
    </font>
    <font>
      <b/>
      <sz val="10"/>
      <color rgb="FFFF0000"/>
      <name val="Arial"/>
      <family val="2"/>
    </font>
    <font>
      <b/>
      <sz val="7"/>
      <color rgb="FFFF0000"/>
      <name val="Arial"/>
      <family val="2"/>
    </font>
    <font>
      <sz val="7"/>
      <color rgb="FFFF0000"/>
      <name val="Arial"/>
      <family val="2"/>
    </font>
    <font>
      <sz val="8"/>
      <color rgb="FFFF0000"/>
      <name val="Arial"/>
      <family val="2"/>
    </font>
    <font>
      <u val="single"/>
      <sz val="10"/>
      <color theme="0"/>
      <name val="Arial"/>
      <family val="2"/>
    </font>
    <font>
      <b/>
      <sz val="12"/>
      <color theme="0"/>
      <name val="Arial"/>
      <family val="2"/>
    </font>
    <font>
      <b/>
      <sz val="8"/>
      <color theme="0"/>
      <name val="Arial"/>
      <family val="2"/>
    </font>
    <font>
      <sz val="10"/>
      <color rgb="FF0070C0"/>
      <name val="Arial"/>
      <family val="2"/>
    </font>
    <font>
      <sz val="10"/>
      <color rgb="FF000000"/>
      <name val="Arial"/>
      <family val="2"/>
    </font>
    <font>
      <b/>
      <sz val="14"/>
      <color theme="2"/>
      <name val="Arial"/>
      <family val="2"/>
    </font>
    <font>
      <b/>
      <sz val="10"/>
      <color theme="1"/>
      <name val="Arial"/>
      <family val="2"/>
    </font>
    <font>
      <b/>
      <sz val="10"/>
      <color rgb="FF00B0F0"/>
      <name val="Arial"/>
      <family val="2"/>
    </font>
    <font>
      <sz val="10"/>
      <color rgb="FF00B0F0"/>
      <name val="Arial"/>
      <family val="2"/>
    </font>
    <font>
      <b/>
      <sz val="9"/>
      <color rgb="FF00B0F0"/>
      <name val="Arial"/>
      <family val="2"/>
    </font>
    <font>
      <b/>
      <sz val="9"/>
      <color rgb="FFFF0000"/>
      <name val="Arial"/>
      <family val="2"/>
    </font>
    <font>
      <sz val="7"/>
      <color theme="0"/>
      <name val="Arial"/>
      <family val="2"/>
    </font>
    <font>
      <b/>
      <sz val="11"/>
      <color rgb="FFFF0000"/>
      <name val="Arial"/>
      <family val="2"/>
    </font>
    <font>
      <u val="single"/>
      <sz val="10"/>
      <color rgb="FFFF0000"/>
      <name val="Arial"/>
      <family val="2"/>
    </font>
    <font>
      <b/>
      <sz val="8"/>
      <color rgb="FFFF0000"/>
      <name val="Arial"/>
      <family val="2"/>
    </font>
    <font>
      <sz val="10"/>
      <color theme="1"/>
      <name val="Arial"/>
      <family val="2"/>
    </font>
    <font>
      <sz val="11"/>
      <color theme="1"/>
      <name val="Arial"/>
      <family val="2"/>
    </font>
    <font>
      <sz val="10"/>
      <color rgb="FFFFFF00"/>
      <name val="Arial"/>
      <family val="2"/>
    </font>
    <font>
      <sz val="9"/>
      <color rgb="FFFFFF00"/>
      <name val="Arial"/>
      <family val="2"/>
    </font>
    <font>
      <sz val="12"/>
      <color rgb="FFFF0000"/>
      <name val="Arial"/>
      <family val="2"/>
    </font>
    <font>
      <b/>
      <sz val="11"/>
      <color theme="1"/>
      <name val="Arial"/>
      <family val="2"/>
    </font>
    <font>
      <sz val="9"/>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bgColor indexed="64"/>
      </patternFill>
    </fill>
    <fill>
      <patternFill patternType="solid">
        <fgColor rgb="FF00B050"/>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indexed="53"/>
      </left>
      <right/>
      <top style="medium">
        <color indexed="53"/>
      </top>
      <bottom style="medium">
        <color indexed="53"/>
      </bottom>
    </border>
    <border>
      <left/>
      <right/>
      <top style="medium">
        <color indexed="53"/>
      </top>
      <bottom style="medium">
        <color indexed="53"/>
      </bottom>
    </border>
    <border>
      <left/>
      <right style="medium">
        <color indexed="53"/>
      </right>
      <top style="medium">
        <color indexed="53"/>
      </top>
      <bottom style="medium">
        <color indexed="53"/>
      </bottom>
    </border>
    <border>
      <left style="medium">
        <color indexed="53"/>
      </left>
      <right style="medium">
        <color indexed="53"/>
      </right>
      <top style="medium">
        <color indexed="53"/>
      </top>
      <bottom style="medium">
        <color indexed="53"/>
      </botto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medium"/>
      <bottom style="medium"/>
    </border>
    <border>
      <left style="thin"/>
      <right/>
      <top style="medium"/>
      <bottom/>
    </border>
    <border>
      <left/>
      <right/>
      <top style="medium"/>
      <bottom/>
    </border>
    <border>
      <left style="medium"/>
      <right/>
      <top style="medium"/>
      <bottom style="thin"/>
    </border>
    <border>
      <left/>
      <right style="thin"/>
      <top style="medium"/>
      <bottom style="thin"/>
    </border>
    <border>
      <left style="medium"/>
      <right/>
      <top style="medium"/>
      <bottom style="medium"/>
    </border>
    <border>
      <left/>
      <right/>
      <top style="medium"/>
      <bottom style="medium"/>
    </border>
    <border>
      <left style="thin"/>
      <right style="medium"/>
      <top style="medium"/>
      <bottom/>
    </border>
    <border>
      <left style="thin"/>
      <right style="medium"/>
      <top/>
      <bottom>
        <color indexed="63"/>
      </bottom>
    </border>
    <border>
      <left style="thin"/>
      <right style="thin"/>
      <top style="medium"/>
      <bottom/>
    </border>
    <border>
      <left style="medium">
        <color rgb="FF221F1F"/>
      </left>
      <right/>
      <top style="medium">
        <color rgb="FF221F1F"/>
      </top>
      <bottom/>
    </border>
    <border>
      <left>
        <color indexed="63"/>
      </left>
      <right>
        <color indexed="63"/>
      </right>
      <top style="medium">
        <color rgb="FF221F1F"/>
      </top>
      <bottom/>
    </border>
    <border>
      <left/>
      <right style="medium">
        <color rgb="FF221F1F"/>
      </right>
      <top style="medium">
        <color rgb="FF221F1F"/>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0" applyNumberFormat="0" applyFill="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101" fillId="29" borderId="1" applyNumberFormat="0" applyAlignment="0" applyProtection="0"/>
    <xf numFmtId="0" fontId="7" fillId="0" borderId="0" applyNumberFormat="0" applyFill="0" applyBorder="0" applyAlignment="0" applyProtection="0"/>
    <xf numFmtId="0" fontId="102" fillId="0" borderId="0" applyNumberFormat="0" applyFill="0" applyBorder="0" applyAlignment="0" applyProtection="0"/>
    <xf numFmtId="0" fontId="103"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174" fontId="0" fillId="0" borderId="0" applyFont="0" applyFill="0" applyBorder="0" applyAlignment="0" applyProtection="0"/>
    <xf numFmtId="0" fontId="10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105" fillId="21" borderId="6"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7" applyNumberFormat="0" applyFill="0" applyAlignment="0" applyProtection="0"/>
    <xf numFmtId="0" fontId="100" fillId="0" borderId="8" applyNumberFormat="0" applyFill="0" applyAlignment="0" applyProtection="0"/>
    <xf numFmtId="0" fontId="110" fillId="0" borderId="9" applyNumberFormat="0" applyFill="0" applyAlignment="0" applyProtection="0"/>
  </cellStyleXfs>
  <cellXfs count="464">
    <xf numFmtId="0" fontId="0" fillId="0" borderId="0" xfId="0" applyAlignment="1">
      <alignment/>
    </xf>
    <xf numFmtId="0" fontId="3" fillId="0" borderId="0" xfId="0" applyFont="1" applyAlignment="1">
      <alignment horizontal="center"/>
    </xf>
    <xf numFmtId="196" fontId="0" fillId="0" borderId="0" xfId="0" applyNumberFormat="1" applyAlignment="1">
      <alignment/>
    </xf>
    <xf numFmtId="193" fontId="0" fillId="0" borderId="0" xfId="49" applyFont="1" applyAlignment="1">
      <alignment/>
    </xf>
    <xf numFmtId="193" fontId="0" fillId="0" borderId="0" xfId="0" applyNumberFormat="1" applyAlignment="1">
      <alignment/>
    </xf>
    <xf numFmtId="198" fontId="0" fillId="0" borderId="0" xfId="57" applyNumberFormat="1" applyFont="1" applyAlignment="1">
      <alignment/>
    </xf>
    <xf numFmtId="0" fontId="0" fillId="0" borderId="0" xfId="0" applyFill="1" applyAlignment="1">
      <alignment horizontal="right"/>
    </xf>
    <xf numFmtId="0" fontId="12" fillId="0" borderId="0" xfId="0" applyFont="1" applyAlignment="1">
      <alignment horizontal="left"/>
    </xf>
    <xf numFmtId="0" fontId="111" fillId="0" borderId="0" xfId="0" applyFont="1" applyAlignment="1">
      <alignment/>
    </xf>
    <xf numFmtId="195" fontId="111" fillId="0" borderId="0" xfId="49" applyNumberFormat="1"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pplyProtection="1">
      <alignment/>
      <protection/>
    </xf>
    <xf numFmtId="195" fontId="0" fillId="0" borderId="0" xfId="49" applyNumberFormat="1" applyFont="1" applyAlignment="1" applyProtection="1">
      <alignment/>
      <protection/>
    </xf>
    <xf numFmtId="195" fontId="0" fillId="0" borderId="0" xfId="49" applyNumberFormat="1" applyFont="1" applyAlignment="1">
      <alignment/>
    </xf>
    <xf numFmtId="195" fontId="0" fillId="0" borderId="10" xfId="49" applyNumberFormat="1" applyFont="1" applyBorder="1" applyAlignment="1" applyProtection="1">
      <alignment/>
      <protection locked="0"/>
    </xf>
    <xf numFmtId="0" fontId="21" fillId="0" borderId="0" xfId="0" applyFont="1" applyAlignment="1" applyProtection="1">
      <alignment horizontal="center"/>
      <protection locked="0"/>
    </xf>
    <xf numFmtId="0" fontId="11" fillId="0" borderId="0" xfId="0" applyFont="1" applyAlignment="1" applyProtection="1">
      <alignment horizontal="center"/>
      <protection locked="0"/>
    </xf>
    <xf numFmtId="0" fontId="23" fillId="0" borderId="0" xfId="0" applyFont="1" applyAlignment="1" applyProtection="1">
      <alignment horizontal="center"/>
      <protection locked="0"/>
    </xf>
    <xf numFmtId="0" fontId="0" fillId="0" borderId="0" xfId="0" applyFont="1" applyAlignment="1" applyProtection="1">
      <alignment/>
      <protection locked="0"/>
    </xf>
    <xf numFmtId="0" fontId="25" fillId="33" borderId="11" xfId="0" applyFont="1" applyFill="1" applyBorder="1" applyAlignment="1">
      <alignment horizontal="left"/>
    </xf>
    <xf numFmtId="0" fontId="25" fillId="33" borderId="12" xfId="0" applyFont="1" applyFill="1" applyBorder="1" applyAlignment="1">
      <alignment horizontal="center"/>
    </xf>
    <xf numFmtId="0" fontId="25" fillId="33" borderId="13" xfId="0" applyFont="1" applyFill="1" applyBorder="1" applyAlignment="1">
      <alignment horizontal="center"/>
    </xf>
    <xf numFmtId="195" fontId="25" fillId="33" borderId="14" xfId="49" applyNumberFormat="1" applyFont="1" applyFill="1" applyBorder="1" applyAlignment="1">
      <alignment horizontal="center"/>
    </xf>
    <xf numFmtId="195" fontId="3" fillId="0" borderId="0" xfId="49" applyNumberFormat="1" applyFont="1" applyAlignment="1" applyProtection="1">
      <alignment horizontal="center"/>
      <protection/>
    </xf>
    <xf numFmtId="195" fontId="3" fillId="0" borderId="0" xfId="49" applyNumberFormat="1" applyFont="1" applyAlignment="1">
      <alignment horizontal="center"/>
    </xf>
    <xf numFmtId="0" fontId="26" fillId="33" borderId="15" xfId="0" applyFont="1" applyFill="1" applyBorder="1" applyAlignment="1">
      <alignment horizontal="center" vertical="center"/>
    </xf>
    <xf numFmtId="0" fontId="13" fillId="0" borderId="0" xfId="0" applyFont="1" applyFill="1" applyAlignment="1">
      <alignment horizontal="center"/>
    </xf>
    <xf numFmtId="0" fontId="3" fillId="0" borderId="0" xfId="0" applyFont="1" applyAlignment="1">
      <alignment horizontal="left"/>
    </xf>
    <xf numFmtId="0" fontId="0" fillId="34" borderId="10" xfId="0" applyFont="1" applyFill="1" applyBorder="1" applyAlignment="1">
      <alignment/>
    </xf>
    <xf numFmtId="195" fontId="0" fillId="34" borderId="10" xfId="49" applyNumberFormat="1" applyFont="1" applyFill="1" applyBorder="1" applyAlignment="1" applyProtection="1">
      <alignment/>
      <protection/>
    </xf>
    <xf numFmtId="195" fontId="0" fillId="34" borderId="10" xfId="49" applyNumberFormat="1" applyFont="1" applyFill="1" applyBorder="1" applyAlignment="1">
      <alignment/>
    </xf>
    <xf numFmtId="0" fontId="0" fillId="0" borderId="0" xfId="0" applyFont="1" applyAlignment="1">
      <alignment horizontal="center" vertical="center"/>
    </xf>
    <xf numFmtId="195" fontId="3" fillId="34" borderId="10" xfId="49" applyNumberFormat="1" applyFont="1" applyFill="1" applyBorder="1" applyAlignment="1">
      <alignment/>
    </xf>
    <xf numFmtId="195" fontId="3" fillId="34" borderId="10" xfId="49" applyNumberFormat="1" applyFont="1" applyFill="1" applyBorder="1" applyAlignment="1" applyProtection="1">
      <alignment/>
      <protection/>
    </xf>
    <xf numFmtId="195" fontId="28" fillId="34" borderId="10" xfId="49" applyNumberFormat="1" applyFont="1" applyFill="1" applyBorder="1" applyAlignment="1">
      <alignment horizontal="center"/>
    </xf>
    <xf numFmtId="195" fontId="27" fillId="0" borderId="0" xfId="49" applyNumberFormat="1" applyFont="1" applyAlignment="1">
      <alignment horizontal="center"/>
    </xf>
    <xf numFmtId="0" fontId="3" fillId="0" borderId="0" xfId="0" applyFont="1" applyAlignment="1">
      <alignment/>
    </xf>
    <xf numFmtId="0" fontId="0" fillId="0" borderId="0" xfId="0" applyFont="1" applyBorder="1" applyAlignment="1">
      <alignment/>
    </xf>
    <xf numFmtId="195" fontId="0" fillId="0" borderId="0" xfId="49" applyNumberFormat="1" applyFont="1" applyBorder="1" applyAlignment="1">
      <alignment/>
    </xf>
    <xf numFmtId="195" fontId="0" fillId="0" borderId="0" xfId="49" applyNumberFormat="1" applyFont="1" applyBorder="1" applyAlignment="1" applyProtection="1">
      <alignment/>
      <protection/>
    </xf>
    <xf numFmtId="195" fontId="2" fillId="0" borderId="0" xfId="49" applyNumberFormat="1" applyFont="1" applyBorder="1" applyAlignment="1">
      <alignment/>
    </xf>
    <xf numFmtId="195" fontId="0" fillId="0" borderId="0" xfId="49" applyNumberFormat="1" applyFont="1" applyFill="1" applyBorder="1" applyAlignment="1">
      <alignment/>
    </xf>
    <xf numFmtId="0" fontId="5" fillId="33" borderId="16" xfId="0" applyFont="1" applyFill="1" applyBorder="1" applyAlignment="1">
      <alignment horizontal="left"/>
    </xf>
    <xf numFmtId="0" fontId="5" fillId="33" borderId="17" xfId="0" applyFont="1" applyFill="1" applyBorder="1" applyAlignment="1">
      <alignment horizontal="left"/>
    </xf>
    <xf numFmtId="0" fontId="5" fillId="33" borderId="17" xfId="0" applyFont="1" applyFill="1" applyBorder="1" applyAlignment="1" applyProtection="1">
      <alignment horizontal="left"/>
      <protection/>
    </xf>
    <xf numFmtId="0" fontId="5" fillId="33" borderId="18" xfId="0" applyFont="1" applyFill="1" applyBorder="1" applyAlignment="1">
      <alignment horizontal="left"/>
    </xf>
    <xf numFmtId="195" fontId="5" fillId="33" borderId="10" xfId="49" applyNumberFormat="1" applyFont="1" applyFill="1" applyBorder="1" applyAlignment="1">
      <alignment/>
    </xf>
    <xf numFmtId="0" fontId="0" fillId="0" borderId="0" xfId="0" applyFont="1" applyFill="1" applyAlignment="1">
      <alignment horizontal="center" vertical="center"/>
    </xf>
    <xf numFmtId="0" fontId="3" fillId="0" borderId="0" xfId="0" applyFont="1" applyFill="1" applyBorder="1" applyAlignment="1">
      <alignment horizontal="left"/>
    </xf>
    <xf numFmtId="0" fontId="3" fillId="0" borderId="0" xfId="0" applyFont="1" applyFill="1" applyBorder="1" applyAlignment="1" applyProtection="1">
      <alignment horizontal="left"/>
      <protection/>
    </xf>
    <xf numFmtId="195" fontId="0" fillId="0" borderId="0" xfId="49" applyNumberFormat="1" applyFont="1" applyFill="1" applyAlignment="1">
      <alignment/>
    </xf>
    <xf numFmtId="195" fontId="0" fillId="34" borderId="10" xfId="49" applyNumberFormat="1" applyFont="1" applyFill="1" applyBorder="1" applyAlignment="1">
      <alignment horizontal="center" vertical="center"/>
    </xf>
    <xf numFmtId="195" fontId="6" fillId="0" borderId="0" xfId="49" applyNumberFormat="1" applyFont="1" applyAlignment="1">
      <alignment/>
    </xf>
    <xf numFmtId="195" fontId="0" fillId="34" borderId="19" xfId="49" applyNumberFormat="1" applyFont="1" applyFill="1" applyBorder="1" applyAlignment="1">
      <alignment horizontal="center"/>
    </xf>
    <xf numFmtId="195" fontId="5" fillId="33" borderId="18" xfId="0" applyNumberFormat="1" applyFont="1" applyFill="1" applyBorder="1" applyAlignment="1">
      <alignment horizontal="left"/>
    </xf>
    <xf numFmtId="0" fontId="112" fillId="33" borderId="16" xfId="0" applyFont="1" applyFill="1" applyBorder="1" applyAlignment="1">
      <alignment horizontal="left"/>
    </xf>
    <xf numFmtId="195" fontId="9" fillId="33" borderId="10" xfId="49" applyNumberFormat="1" applyFont="1" applyFill="1" applyBorder="1" applyAlignment="1">
      <alignment horizontal="center"/>
    </xf>
    <xf numFmtId="195" fontId="24" fillId="33" borderId="10" xfId="49" applyNumberFormat="1"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pplyProtection="1">
      <alignment horizontal="left"/>
      <protection/>
    </xf>
    <xf numFmtId="195" fontId="5" fillId="0" borderId="0" xfId="49" applyNumberFormat="1" applyFont="1" applyFill="1" applyBorder="1" applyAlignment="1">
      <alignment/>
    </xf>
    <xf numFmtId="194" fontId="0" fillId="0" borderId="0" xfId="49" applyNumberFormat="1" applyFont="1" applyFill="1" applyAlignment="1" applyProtection="1">
      <alignment/>
      <protection/>
    </xf>
    <xf numFmtId="194" fontId="0" fillId="0" borderId="0" xfId="49" applyNumberFormat="1" applyFont="1" applyFill="1" applyAlignment="1">
      <alignment/>
    </xf>
    <xf numFmtId="0" fontId="6" fillId="0" borderId="0" xfId="0" applyFont="1" applyAlignment="1">
      <alignment/>
    </xf>
    <xf numFmtId="0" fontId="7" fillId="0" borderId="0" xfId="46" applyFont="1" applyAlignment="1" applyProtection="1">
      <alignment/>
      <protection/>
    </xf>
    <xf numFmtId="0" fontId="29" fillId="0" borderId="0" xfId="0" applyFont="1" applyAlignment="1" applyProtection="1">
      <alignment/>
      <protection hidden="1"/>
    </xf>
    <xf numFmtId="14" fontId="29" fillId="0" borderId="0" xfId="49" applyNumberFormat="1" applyFont="1" applyAlignment="1" applyProtection="1">
      <alignment horizontal="center"/>
      <protection hidden="1"/>
    </xf>
    <xf numFmtId="195" fontId="30" fillId="0" borderId="0" xfId="49" applyNumberFormat="1" applyFont="1" applyAlignment="1" applyProtection="1">
      <alignment horizontal="left"/>
      <protection/>
    </xf>
    <xf numFmtId="195" fontId="30" fillId="0" borderId="0" xfId="49" applyNumberFormat="1" applyFont="1" applyAlignment="1">
      <alignment horizontal="left"/>
    </xf>
    <xf numFmtId="195" fontId="31" fillId="0" borderId="0" xfId="49" applyNumberFormat="1" applyFont="1" applyAlignment="1" applyProtection="1">
      <alignment horizontal="center"/>
      <protection hidden="1"/>
    </xf>
    <xf numFmtId="0" fontId="0" fillId="0" borderId="0" xfId="0" applyFont="1" applyAlignment="1">
      <alignment horizontal="justify" vertical="top"/>
    </xf>
    <xf numFmtId="195" fontId="111" fillId="0" borderId="0" xfId="49" applyNumberFormat="1" applyFont="1" applyAlignment="1" applyProtection="1">
      <alignment/>
      <protection/>
    </xf>
    <xf numFmtId="0" fontId="0" fillId="0" borderId="0" xfId="0" applyFont="1" applyAlignment="1" applyProtection="1">
      <alignment horizontal="justify" vertical="top"/>
      <protection/>
    </xf>
    <xf numFmtId="195" fontId="25" fillId="33" borderId="13" xfId="49" applyNumberFormat="1" applyFont="1" applyFill="1" applyBorder="1" applyAlignment="1">
      <alignment horizontal="center"/>
    </xf>
    <xf numFmtId="0" fontId="3" fillId="0" borderId="0" xfId="0" applyFont="1" applyFill="1" applyAlignment="1" applyProtection="1">
      <alignment horizontal="center"/>
      <protection/>
    </xf>
    <xf numFmtId="195" fontId="0" fillId="0" borderId="0" xfId="49" applyNumberFormat="1" applyFont="1" applyFill="1" applyAlignment="1" applyProtection="1">
      <alignment/>
      <protection/>
    </xf>
    <xf numFmtId="0" fontId="33" fillId="0" borderId="11" xfId="0" applyFont="1" applyFill="1" applyBorder="1" applyAlignment="1" applyProtection="1">
      <alignment horizontal="left"/>
      <protection/>
    </xf>
    <xf numFmtId="0" fontId="33" fillId="0" borderId="12" xfId="0" applyFont="1" applyFill="1" applyBorder="1" applyAlignment="1" applyProtection="1">
      <alignment horizontal="center"/>
      <protection/>
    </xf>
    <xf numFmtId="0" fontId="33" fillId="0" borderId="13" xfId="0" applyFont="1" applyFill="1" applyBorder="1" applyAlignment="1" applyProtection="1">
      <alignment horizontal="center"/>
      <protection/>
    </xf>
    <xf numFmtId="195" fontId="33" fillId="0" borderId="14" xfId="49" applyNumberFormat="1" applyFont="1" applyFill="1" applyBorder="1" applyAlignment="1" applyProtection="1">
      <alignment horizontal="center"/>
      <protection/>
    </xf>
    <xf numFmtId="195" fontId="33" fillId="0" borderId="0" xfId="49" applyNumberFormat="1" applyFont="1" applyFill="1" applyBorder="1" applyAlignment="1" applyProtection="1">
      <alignment horizontal="center"/>
      <protection/>
    </xf>
    <xf numFmtId="195" fontId="3" fillId="0" borderId="0" xfId="49" applyNumberFormat="1" applyFont="1" applyFill="1" applyAlignment="1" applyProtection="1">
      <alignment horizontal="center"/>
      <protection/>
    </xf>
    <xf numFmtId="0" fontId="13" fillId="0" borderId="15" xfId="0" applyFont="1" applyFill="1" applyBorder="1" applyAlignment="1" applyProtection="1">
      <alignment horizontal="center" vertical="center"/>
      <protection/>
    </xf>
    <xf numFmtId="0" fontId="13" fillId="0" borderId="0" xfId="0" applyFont="1" applyFill="1" applyAlignment="1" applyProtection="1">
      <alignment horizontal="center"/>
      <protection/>
    </xf>
    <xf numFmtId="0" fontId="3" fillId="0" borderId="0" xfId="0" applyFont="1" applyFill="1" applyAlignment="1" applyProtection="1">
      <alignment horizontal="left"/>
      <protection/>
    </xf>
    <xf numFmtId="0" fontId="0" fillId="0" borderId="10" xfId="0" applyFont="1" applyFill="1" applyBorder="1" applyAlignment="1" applyProtection="1">
      <alignment/>
      <protection/>
    </xf>
    <xf numFmtId="195" fontId="0" fillId="0" borderId="10" xfId="49" applyNumberFormat="1" applyFont="1" applyFill="1" applyBorder="1" applyAlignment="1" applyProtection="1">
      <alignment/>
      <protection/>
    </xf>
    <xf numFmtId="195" fontId="27" fillId="0" borderId="10" xfId="49" applyNumberFormat="1" applyFont="1" applyFill="1" applyBorder="1" applyAlignment="1" applyProtection="1">
      <alignment horizontal="center"/>
      <protection/>
    </xf>
    <xf numFmtId="195" fontId="0" fillId="0" borderId="0" xfId="49" applyNumberFormat="1" applyFont="1" applyFill="1" applyBorder="1" applyAlignment="1" applyProtection="1">
      <alignment/>
      <protection/>
    </xf>
    <xf numFmtId="0" fontId="0" fillId="0" borderId="0" xfId="0" applyFont="1" applyFill="1" applyAlignment="1" applyProtection="1">
      <alignment horizontal="center" vertical="center"/>
      <protection/>
    </xf>
    <xf numFmtId="0" fontId="3" fillId="0" borderId="10" xfId="0" applyFont="1" applyFill="1" applyBorder="1" applyAlignment="1" applyProtection="1">
      <alignment horizontal="left"/>
      <protection/>
    </xf>
    <xf numFmtId="195" fontId="3" fillId="0" borderId="10" xfId="49" applyNumberFormat="1" applyFont="1" applyFill="1" applyBorder="1" applyAlignment="1" applyProtection="1">
      <alignment/>
      <protection/>
    </xf>
    <xf numFmtId="195" fontId="28" fillId="0" borderId="10" xfId="49" applyNumberFormat="1" applyFont="1" applyFill="1" applyBorder="1" applyAlignment="1" applyProtection="1">
      <alignment horizontal="center"/>
      <protection/>
    </xf>
    <xf numFmtId="195" fontId="27" fillId="0" borderId="0" xfId="49" applyNumberFormat="1" applyFont="1" applyFill="1" applyAlignment="1" applyProtection="1">
      <alignment horizontal="center"/>
      <protection/>
    </xf>
    <xf numFmtId="0" fontId="3" fillId="0" borderId="0" xfId="0" applyFont="1" applyFill="1" applyAlignment="1" applyProtection="1">
      <alignment/>
      <protection/>
    </xf>
    <xf numFmtId="0" fontId="3" fillId="0" borderId="10" xfId="0" applyFont="1" applyFill="1" applyBorder="1" applyAlignment="1" applyProtection="1">
      <alignment/>
      <protection/>
    </xf>
    <xf numFmtId="195" fontId="2" fillId="0" borderId="10" xfId="49" applyNumberFormat="1" applyFont="1" applyFill="1" applyBorder="1" applyAlignment="1" applyProtection="1">
      <alignment/>
      <protection/>
    </xf>
    <xf numFmtId="0" fontId="0" fillId="0" borderId="0" xfId="0" applyFont="1" applyFill="1" applyBorder="1" applyAlignment="1" applyProtection="1">
      <alignment/>
      <protection/>
    </xf>
    <xf numFmtId="0" fontId="3" fillId="0" borderId="16"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18" xfId="0" applyFont="1" applyFill="1" applyBorder="1" applyAlignment="1" applyProtection="1">
      <alignment horizontal="left"/>
      <protection/>
    </xf>
    <xf numFmtId="195" fontId="2" fillId="0" borderId="10" xfId="49" applyNumberFormat="1" applyFont="1" applyFill="1" applyBorder="1" applyAlignment="1" applyProtection="1">
      <alignment horizontal="center" vertical="center" wrapText="1"/>
      <protection/>
    </xf>
    <xf numFmtId="195" fontId="3" fillId="0" borderId="0" xfId="49" applyNumberFormat="1" applyFont="1" applyFill="1" applyBorder="1" applyAlignment="1" applyProtection="1">
      <alignment/>
      <protection/>
    </xf>
    <xf numFmtId="0" fontId="13" fillId="0" borderId="0" xfId="0" applyFont="1" applyFill="1" applyBorder="1" applyAlignment="1" applyProtection="1">
      <alignment horizontal="center" vertical="center"/>
      <protection/>
    </xf>
    <xf numFmtId="0" fontId="3" fillId="0" borderId="16" xfId="0" applyFont="1" applyFill="1" applyBorder="1" applyAlignment="1">
      <alignment horizontal="left"/>
    </xf>
    <xf numFmtId="193" fontId="0" fillId="0" borderId="10" xfId="49" applyNumberFormat="1" applyFont="1" applyFill="1" applyBorder="1" applyAlignment="1" applyProtection="1">
      <alignment/>
      <protection/>
    </xf>
    <xf numFmtId="193" fontId="0" fillId="0" borderId="0" xfId="49" applyNumberFormat="1" applyFont="1" applyFill="1" applyBorder="1" applyAlignment="1" applyProtection="1">
      <alignment/>
      <protection/>
    </xf>
    <xf numFmtId="10" fontId="0" fillId="0" borderId="10" xfId="57" applyNumberFormat="1" applyFont="1" applyFill="1" applyBorder="1" applyAlignment="1" applyProtection="1">
      <alignment/>
      <protection/>
    </xf>
    <xf numFmtId="10" fontId="0" fillId="0" borderId="0" xfId="57" applyNumberFormat="1" applyFont="1" applyFill="1" applyBorder="1" applyAlignment="1" applyProtection="1">
      <alignment/>
      <protection/>
    </xf>
    <xf numFmtId="0" fontId="3" fillId="0" borderId="0" xfId="0" applyFont="1" applyFill="1" applyAlignment="1">
      <alignment horizontal="center"/>
    </xf>
    <xf numFmtId="0" fontId="34" fillId="0" borderId="0" xfId="0" applyFont="1" applyFill="1" applyAlignment="1">
      <alignment/>
    </xf>
    <xf numFmtId="0" fontId="13" fillId="0" borderId="0" xfId="0" applyFont="1" applyFill="1" applyAlignment="1">
      <alignment/>
    </xf>
    <xf numFmtId="195" fontId="0" fillId="0" borderId="15" xfId="49" applyNumberFormat="1" applyFont="1" applyFill="1" applyBorder="1" applyAlignment="1" applyProtection="1">
      <alignment horizontal="center"/>
      <protection locked="0"/>
    </xf>
    <xf numFmtId="193" fontId="113" fillId="0" borderId="0" xfId="51" applyFont="1" applyAlignment="1">
      <alignment/>
    </xf>
    <xf numFmtId="193" fontId="0" fillId="0" borderId="0" xfId="51" applyFont="1" applyAlignment="1">
      <alignment/>
    </xf>
    <xf numFmtId="193" fontId="114" fillId="0" borderId="10" xfId="51" applyFont="1" applyBorder="1" applyAlignment="1">
      <alignment horizontal="center" vertical="top" wrapText="1"/>
    </xf>
    <xf numFmtId="193" fontId="115" fillId="0" borderId="10" xfId="51" applyFont="1" applyBorder="1" applyAlignment="1">
      <alignment horizontal="left" vertical="top" wrapText="1" indent="1"/>
    </xf>
    <xf numFmtId="193" fontId="115" fillId="0" borderId="10" xfId="51" applyFont="1" applyBorder="1" applyAlignment="1">
      <alignment horizontal="center" vertical="top" wrapText="1"/>
    </xf>
    <xf numFmtId="193" fontId="113" fillId="0" borderId="10" xfId="51" applyFont="1" applyBorder="1" applyAlignment="1">
      <alignment/>
    </xf>
    <xf numFmtId="193" fontId="113" fillId="0" borderId="10" xfId="51" applyFont="1" applyBorder="1" applyAlignment="1">
      <alignment horizontal="right"/>
    </xf>
    <xf numFmtId="193" fontId="3" fillId="0" borderId="20" xfId="51" applyFont="1" applyBorder="1" applyAlignment="1">
      <alignment/>
    </xf>
    <xf numFmtId="193" fontId="0" fillId="0" borderId="21" xfId="51" applyFont="1" applyBorder="1" applyAlignment="1">
      <alignment/>
    </xf>
    <xf numFmtId="193" fontId="0" fillId="0" borderId="22" xfId="51" applyFont="1" applyBorder="1" applyAlignment="1">
      <alignment/>
    </xf>
    <xf numFmtId="193" fontId="0" fillId="0" borderId="23" xfId="51" applyFont="1" applyBorder="1" applyAlignment="1">
      <alignment/>
    </xf>
    <xf numFmtId="193" fontId="0" fillId="0" borderId="0" xfId="51" applyFont="1" applyBorder="1" applyAlignment="1">
      <alignment/>
    </xf>
    <xf numFmtId="193" fontId="0" fillId="0" borderId="24" xfId="51" applyFont="1" applyBorder="1" applyAlignment="1">
      <alignment/>
    </xf>
    <xf numFmtId="193" fontId="0" fillId="0" borderId="23" xfId="51" applyFont="1" applyBorder="1" applyAlignment="1">
      <alignment/>
    </xf>
    <xf numFmtId="193" fontId="0" fillId="0" borderId="24" xfId="51" applyFont="1" applyBorder="1" applyAlignment="1">
      <alignment/>
    </xf>
    <xf numFmtId="193" fontId="3" fillId="0" borderId="23" xfId="51" applyFont="1" applyBorder="1" applyAlignment="1">
      <alignment/>
    </xf>
    <xf numFmtId="193" fontId="3" fillId="0" borderId="0" xfId="51" applyFont="1" applyBorder="1" applyAlignment="1">
      <alignment/>
    </xf>
    <xf numFmtId="193" fontId="0" fillId="0" borderId="25" xfId="51" applyFont="1" applyBorder="1" applyAlignment="1">
      <alignment/>
    </xf>
    <xf numFmtId="193" fontId="0" fillId="0" borderId="26" xfId="51" applyFont="1" applyBorder="1" applyAlignment="1">
      <alignment/>
    </xf>
    <xf numFmtId="193" fontId="0" fillId="0" borderId="27" xfId="51" applyFont="1" applyBorder="1" applyAlignment="1">
      <alignment/>
    </xf>
    <xf numFmtId="0" fontId="0" fillId="0" borderId="0" xfId="55" applyFont="1">
      <alignment/>
      <protection/>
    </xf>
    <xf numFmtId="195" fontId="116" fillId="0" borderId="0" xfId="49" applyNumberFormat="1" applyFont="1" applyAlignment="1">
      <alignment/>
    </xf>
    <xf numFmtId="195" fontId="117" fillId="35" borderId="0" xfId="49" applyNumberFormat="1" applyFont="1" applyFill="1" applyBorder="1" applyAlignment="1">
      <alignment horizontal="center" vertical="center"/>
    </xf>
    <xf numFmtId="195" fontId="111" fillId="35" borderId="0" xfId="49" applyNumberFormat="1" applyFont="1" applyFill="1" applyBorder="1" applyAlignment="1" applyProtection="1">
      <alignment/>
      <protection locked="0"/>
    </xf>
    <xf numFmtId="195" fontId="24" fillId="33" borderId="18" xfId="49" applyNumberFormat="1" applyFont="1" applyFill="1" applyBorder="1" applyAlignment="1">
      <alignment horizontal="center"/>
    </xf>
    <xf numFmtId="195" fontId="116" fillId="0" borderId="0" xfId="49" applyNumberFormat="1" applyFont="1" applyFill="1" applyAlignment="1">
      <alignment/>
    </xf>
    <xf numFmtId="14" fontId="0" fillId="0" borderId="0" xfId="55" applyNumberFormat="1" applyFont="1">
      <alignment/>
      <protection/>
    </xf>
    <xf numFmtId="0" fontId="25" fillId="33" borderId="11" xfId="55" applyFont="1" applyFill="1" applyBorder="1" applyAlignment="1">
      <alignment horizontal="left"/>
      <protection/>
    </xf>
    <xf numFmtId="0" fontId="25" fillId="33" borderId="12" xfId="55" applyFont="1" applyFill="1" applyBorder="1" applyAlignment="1">
      <alignment horizontal="center"/>
      <protection/>
    </xf>
    <xf numFmtId="0" fontId="25" fillId="33" borderId="13" xfId="55" applyFont="1" applyFill="1" applyBorder="1" applyAlignment="1">
      <alignment horizontal="center"/>
      <protection/>
    </xf>
    <xf numFmtId="0" fontId="3" fillId="0" borderId="0" xfId="55" applyFont="1" applyAlignment="1">
      <alignment horizontal="center"/>
      <protection/>
    </xf>
    <xf numFmtId="195" fontId="118" fillId="0" borderId="0" xfId="49" applyNumberFormat="1" applyFont="1" applyAlignment="1">
      <alignment horizontal="center"/>
    </xf>
    <xf numFmtId="0" fontId="26" fillId="33" borderId="15" xfId="55" applyFont="1" applyFill="1" applyBorder="1" applyAlignment="1">
      <alignment horizontal="center" vertical="center"/>
      <protection/>
    </xf>
    <xf numFmtId="0" fontId="13" fillId="0" borderId="0" xfId="55" applyFont="1" applyFill="1" applyAlignment="1">
      <alignment horizontal="center"/>
      <protection/>
    </xf>
    <xf numFmtId="0" fontId="118" fillId="0" borderId="0" xfId="55" applyFont="1" applyAlignment="1">
      <alignment horizontal="left"/>
      <protection/>
    </xf>
    <xf numFmtId="0" fontId="0" fillId="34" borderId="10" xfId="55" applyFont="1" applyFill="1" applyBorder="1">
      <alignment/>
      <protection/>
    </xf>
    <xf numFmtId="0" fontId="0" fillId="0" borderId="0" xfId="55" applyFont="1" applyAlignment="1">
      <alignment horizontal="center" vertical="center"/>
      <protection/>
    </xf>
    <xf numFmtId="0" fontId="3" fillId="34" borderId="10" xfId="55" applyFont="1" applyFill="1" applyBorder="1" applyAlignment="1">
      <alignment horizontal="left"/>
      <protection/>
    </xf>
    <xf numFmtId="195" fontId="119" fillId="34" borderId="10" xfId="49" applyNumberFormat="1" applyFont="1" applyFill="1" applyBorder="1" applyAlignment="1">
      <alignment horizontal="center"/>
    </xf>
    <xf numFmtId="195" fontId="120" fillId="0" borderId="0" xfId="49" applyNumberFormat="1" applyFont="1" applyAlignment="1">
      <alignment horizontal="center"/>
    </xf>
    <xf numFmtId="0" fontId="5" fillId="33" borderId="16" xfId="55" applyFont="1" applyFill="1" applyBorder="1" applyAlignment="1">
      <alignment horizontal="left"/>
      <protection/>
    </xf>
    <xf numFmtId="0" fontId="5" fillId="33" borderId="17" xfId="55" applyFont="1" applyFill="1" applyBorder="1" applyAlignment="1">
      <alignment horizontal="left"/>
      <protection/>
    </xf>
    <xf numFmtId="0" fontId="5" fillId="33" borderId="18" xfId="55" applyFont="1" applyFill="1" applyBorder="1" applyAlignment="1">
      <alignment horizontal="left"/>
      <protection/>
    </xf>
    <xf numFmtId="0" fontId="118" fillId="33" borderId="18" xfId="55" applyFont="1" applyFill="1" applyBorder="1" applyAlignment="1">
      <alignment horizontal="left"/>
      <protection/>
    </xf>
    <xf numFmtId="0" fontId="0" fillId="0" borderId="0" xfId="55" applyFont="1" applyFill="1" applyAlignment="1">
      <alignment horizontal="center" vertical="center"/>
      <protection/>
    </xf>
    <xf numFmtId="0" fontId="0" fillId="0" borderId="0" xfId="55" applyFont="1" applyFill="1">
      <alignment/>
      <protection/>
    </xf>
    <xf numFmtId="0" fontId="3" fillId="0" borderId="0" xfId="55" applyFont="1" applyFill="1" applyBorder="1" applyAlignment="1">
      <alignment horizontal="left"/>
      <protection/>
    </xf>
    <xf numFmtId="0" fontId="118" fillId="0" borderId="0" xfId="55" applyFont="1" applyFill="1" applyBorder="1" applyAlignment="1">
      <alignment horizontal="left"/>
      <protection/>
    </xf>
    <xf numFmtId="195" fontId="3" fillId="0" borderId="0" xfId="49" applyNumberFormat="1" applyFont="1" applyFill="1" applyBorder="1" applyAlignment="1">
      <alignment/>
    </xf>
    <xf numFmtId="0" fontId="30" fillId="0" borderId="0" xfId="55" applyFont="1">
      <alignment/>
      <protection/>
    </xf>
    <xf numFmtId="0" fontId="26" fillId="0" borderId="0" xfId="55" applyFont="1" applyFill="1" applyBorder="1" applyAlignment="1">
      <alignment horizontal="center" vertical="center"/>
      <protection/>
    </xf>
    <xf numFmtId="0" fontId="0" fillId="36" borderId="10" xfId="55" applyFont="1" applyFill="1" applyBorder="1">
      <alignment/>
      <protection/>
    </xf>
    <xf numFmtId="195" fontId="0" fillId="36" borderId="10" xfId="49" applyNumberFormat="1" applyFont="1" applyFill="1" applyBorder="1" applyAlignment="1" applyProtection="1">
      <alignment/>
      <protection/>
    </xf>
    <xf numFmtId="195" fontId="2" fillId="0" borderId="0" xfId="49" applyNumberFormat="1" applyFont="1" applyAlignment="1">
      <alignment/>
    </xf>
    <xf numFmtId="195" fontId="121" fillId="0" borderId="28" xfId="49" applyNumberFormat="1" applyFont="1" applyBorder="1" applyAlignment="1">
      <alignment horizontal="center" vertical="center" wrapText="1"/>
    </xf>
    <xf numFmtId="193" fontId="0" fillId="0" borderId="0" xfId="49" applyNumberFormat="1" applyFont="1" applyAlignment="1">
      <alignment/>
    </xf>
    <xf numFmtId="193" fontId="0" fillId="0" borderId="0" xfId="49" applyFont="1" applyAlignment="1">
      <alignment/>
    </xf>
    <xf numFmtId="0" fontId="3" fillId="34" borderId="10" xfId="55" applyFont="1" applyFill="1" applyBorder="1">
      <alignment/>
      <protection/>
    </xf>
    <xf numFmtId="195" fontId="121" fillId="0" borderId="10" xfId="49" applyNumberFormat="1" applyFont="1" applyBorder="1" applyAlignment="1">
      <alignment/>
    </xf>
    <xf numFmtId="0" fontId="118" fillId="0" borderId="0" xfId="55" applyFont="1">
      <alignment/>
      <protection/>
    </xf>
    <xf numFmtId="195" fontId="121" fillId="0" borderId="10" xfId="49" applyNumberFormat="1" applyFont="1" applyFill="1" applyBorder="1" applyAlignment="1">
      <alignment horizontal="center" vertical="center" wrapText="1"/>
    </xf>
    <xf numFmtId="0" fontId="118" fillId="33" borderId="17" xfId="55" applyFont="1" applyFill="1" applyBorder="1" applyAlignment="1">
      <alignment horizontal="left"/>
      <protection/>
    </xf>
    <xf numFmtId="195" fontId="5" fillId="33" borderId="18" xfId="49" applyNumberFormat="1" applyFont="1" applyFill="1" applyBorder="1" applyAlignment="1">
      <alignment/>
    </xf>
    <xf numFmtId="0" fontId="112" fillId="33" borderId="16" xfId="55" applyFont="1" applyFill="1" applyBorder="1" applyAlignment="1">
      <alignment horizontal="left"/>
      <protection/>
    </xf>
    <xf numFmtId="195" fontId="5" fillId="33" borderId="10" xfId="49" applyNumberFormat="1" applyFont="1" applyFill="1" applyBorder="1" applyAlignment="1" applyProtection="1">
      <alignment/>
      <protection hidden="1"/>
    </xf>
    <xf numFmtId="197" fontId="35" fillId="33" borderId="10" xfId="52" applyNumberFormat="1" applyFont="1" applyFill="1" applyBorder="1" applyAlignment="1">
      <alignment/>
    </xf>
    <xf numFmtId="10" fontId="36" fillId="37" borderId="0" xfId="57" applyNumberFormat="1" applyFont="1" applyFill="1" applyBorder="1" applyAlignment="1" applyProtection="1">
      <alignment/>
      <protection locked="0"/>
    </xf>
    <xf numFmtId="200" fontId="36" fillId="37" borderId="0" xfId="55" applyNumberFormat="1" applyFont="1" applyFill="1" applyBorder="1" applyAlignment="1" applyProtection="1">
      <alignment/>
      <protection locked="0"/>
    </xf>
    <xf numFmtId="0" fontId="116" fillId="0" borderId="0" xfId="55" applyFont="1">
      <alignment/>
      <protection/>
    </xf>
    <xf numFmtId="0" fontId="6" fillId="0" borderId="0" xfId="55" applyFont="1">
      <alignment/>
      <protection/>
    </xf>
    <xf numFmtId="10" fontId="122" fillId="37" borderId="0" xfId="46" applyNumberFormat="1" applyFont="1" applyFill="1" applyBorder="1" applyAlignment="1" applyProtection="1">
      <alignment/>
      <protection locked="0"/>
    </xf>
    <xf numFmtId="0" fontId="111" fillId="35" borderId="0" xfId="55" applyFont="1" applyFill="1" applyProtection="1">
      <alignment/>
      <protection hidden="1"/>
    </xf>
    <xf numFmtId="0" fontId="111" fillId="0" borderId="0" xfId="55" applyFont="1">
      <alignment/>
      <protection/>
    </xf>
    <xf numFmtId="0" fontId="0" fillId="34" borderId="10" xfId="0" applyFont="1" applyFill="1" applyBorder="1" applyAlignment="1">
      <alignment wrapText="1"/>
    </xf>
    <xf numFmtId="0" fontId="112" fillId="33" borderId="0" xfId="0" applyFont="1" applyFill="1" applyBorder="1" applyAlignment="1">
      <alignment horizontal="left"/>
    </xf>
    <xf numFmtId="0" fontId="3" fillId="0" borderId="0" xfId="0" applyFont="1" applyFill="1" applyBorder="1" applyAlignment="1" applyProtection="1">
      <alignment/>
      <protection/>
    </xf>
    <xf numFmtId="0" fontId="111" fillId="0" borderId="0" xfId="0" applyFont="1" applyFill="1" applyAlignment="1" applyProtection="1">
      <alignment/>
      <protection hidden="1"/>
    </xf>
    <xf numFmtId="17" fontId="6" fillId="0" borderId="0" xfId="0" applyNumberFormat="1" applyFont="1" applyAlignment="1">
      <alignment/>
    </xf>
    <xf numFmtId="14" fontId="111" fillId="0" borderId="0" xfId="55" applyNumberFormat="1" applyFont="1" applyFill="1" applyProtection="1">
      <alignment/>
      <protection hidden="1"/>
    </xf>
    <xf numFmtId="0" fontId="0" fillId="0" borderId="10" xfId="0" applyFont="1" applyFill="1" applyBorder="1" applyAlignment="1" applyProtection="1">
      <alignment wrapText="1"/>
      <protection/>
    </xf>
    <xf numFmtId="0" fontId="33" fillId="0" borderId="0" xfId="0" applyFont="1" applyFill="1" applyAlignment="1" applyProtection="1">
      <alignment horizontal="center"/>
      <protection locked="0"/>
    </xf>
    <xf numFmtId="0" fontId="4" fillId="0" borderId="0" xfId="0" applyFont="1" applyFill="1" applyAlignment="1" applyProtection="1">
      <alignment horizontal="center"/>
      <protection locked="0"/>
    </xf>
    <xf numFmtId="0" fontId="33" fillId="0" borderId="0" xfId="0" applyFont="1" applyFill="1" applyAlignment="1" applyProtection="1">
      <alignment horizontal="center"/>
      <protection/>
    </xf>
    <xf numFmtId="0" fontId="4" fillId="0" borderId="0" xfId="0" applyFont="1" applyFill="1" applyAlignment="1" applyProtection="1">
      <alignment horizontal="center"/>
      <protection/>
    </xf>
    <xf numFmtId="0" fontId="33" fillId="0" borderId="0" xfId="0" applyFont="1" applyAlignment="1">
      <alignment horizontal="left"/>
    </xf>
    <xf numFmtId="0" fontId="33" fillId="0" borderId="0" xfId="0" applyFont="1" applyAlignment="1">
      <alignment/>
    </xf>
    <xf numFmtId="195" fontId="2" fillId="36" borderId="10" xfId="49" applyNumberFormat="1" applyFont="1" applyFill="1" applyBorder="1" applyAlignment="1">
      <alignment horizontal="center" vertical="center" wrapText="1"/>
    </xf>
    <xf numFmtId="195" fontId="2" fillId="36" borderId="19" xfId="49" applyNumberFormat="1" applyFont="1" applyFill="1" applyBorder="1" applyAlignment="1">
      <alignment vertical="center" wrapText="1"/>
    </xf>
    <xf numFmtId="195" fontId="2" fillId="36" borderId="28" xfId="49" applyNumberFormat="1" applyFont="1" applyFill="1" applyBorder="1" applyAlignment="1">
      <alignment vertical="center" wrapText="1"/>
    </xf>
    <xf numFmtId="0" fontId="0" fillId="35" borderId="0" xfId="55" applyFont="1" applyFill="1" applyBorder="1" applyAlignment="1" applyProtection="1">
      <alignment horizontal="center"/>
      <protection locked="0"/>
    </xf>
    <xf numFmtId="0" fontId="112" fillId="33" borderId="17" xfId="0" applyFont="1" applyFill="1" applyBorder="1" applyAlignment="1">
      <alignment horizontal="left"/>
    </xf>
    <xf numFmtId="0" fontId="123" fillId="38" borderId="0" xfId="0" applyFont="1" applyFill="1" applyAlignment="1">
      <alignment/>
    </xf>
    <xf numFmtId="0" fontId="0" fillId="38" borderId="0" xfId="0" applyFont="1" applyFill="1" applyAlignment="1">
      <alignment/>
    </xf>
    <xf numFmtId="195" fontId="0" fillId="38" borderId="0" xfId="49" applyNumberFormat="1" applyFont="1" applyFill="1" applyAlignment="1" applyProtection="1">
      <alignment/>
      <protection/>
    </xf>
    <xf numFmtId="195" fontId="0" fillId="38" borderId="0" xfId="49" applyNumberFormat="1" applyFont="1" applyFill="1" applyAlignment="1">
      <alignment/>
    </xf>
    <xf numFmtId="195" fontId="16" fillId="38" borderId="0" xfId="49" applyNumberFormat="1" applyFont="1" applyFill="1" applyAlignment="1" applyProtection="1">
      <alignment horizontal="left"/>
      <protection/>
    </xf>
    <xf numFmtId="195" fontId="17" fillId="38" borderId="0" xfId="49" applyNumberFormat="1" applyFont="1" applyFill="1" applyAlignment="1">
      <alignment horizontal="right"/>
    </xf>
    <xf numFmtId="195" fontId="18" fillId="38" borderId="0" xfId="49" applyNumberFormat="1" applyFont="1" applyFill="1" applyAlignment="1">
      <alignment horizontal="left"/>
    </xf>
    <xf numFmtId="0" fontId="0" fillId="38" borderId="0" xfId="0" applyFont="1" applyFill="1" applyAlignment="1" applyProtection="1">
      <alignment horizontal="left"/>
      <protection/>
    </xf>
    <xf numFmtId="0" fontId="0" fillId="38" borderId="0" xfId="0" applyFont="1" applyFill="1" applyAlignment="1">
      <alignment horizontal="left"/>
    </xf>
    <xf numFmtId="195" fontId="19" fillId="38" borderId="0" xfId="49" applyNumberFormat="1" applyFont="1" applyFill="1" applyAlignment="1" applyProtection="1">
      <alignment horizontal="left"/>
      <protection/>
    </xf>
    <xf numFmtId="195" fontId="20" fillId="38" borderId="0" xfId="49" applyNumberFormat="1" applyFont="1" applyFill="1" applyAlignment="1">
      <alignment horizontal="right"/>
    </xf>
    <xf numFmtId="195" fontId="4" fillId="38" borderId="0" xfId="49" applyNumberFormat="1" applyFont="1" applyFill="1" applyAlignment="1" applyProtection="1">
      <alignment horizontal="center"/>
      <protection/>
    </xf>
    <xf numFmtId="195" fontId="3" fillId="38" borderId="0" xfId="49" applyNumberFormat="1" applyFont="1" applyFill="1" applyAlignment="1">
      <alignment horizontal="left"/>
    </xf>
    <xf numFmtId="195" fontId="39" fillId="38" borderId="0" xfId="49" applyNumberFormat="1" applyFont="1" applyFill="1" applyAlignment="1">
      <alignment horizontal="left"/>
    </xf>
    <xf numFmtId="0" fontId="34" fillId="38" borderId="0" xfId="0" applyFont="1" applyFill="1" applyAlignment="1">
      <alignment vertical="center"/>
    </xf>
    <xf numFmtId="0" fontId="3"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195" fontId="22" fillId="35" borderId="10" xfId="49" applyNumberFormat="1" applyFont="1" applyFill="1" applyBorder="1" applyAlignment="1" applyProtection="1">
      <alignment horizontal="left"/>
      <protection locked="0"/>
    </xf>
    <xf numFmtId="195" fontId="124" fillId="35" borderId="0" xfId="49" applyNumberFormat="1" applyFont="1" applyFill="1" applyBorder="1" applyAlignment="1">
      <alignment horizontal="center" vertical="center" wrapText="1"/>
    </xf>
    <xf numFmtId="195" fontId="0" fillId="35" borderId="0" xfId="49" applyNumberFormat="1" applyFont="1" applyFill="1" applyBorder="1" applyAlignment="1" applyProtection="1">
      <alignment/>
      <protection locked="0"/>
    </xf>
    <xf numFmtId="195" fontId="0" fillId="0" borderId="10" xfId="49" applyNumberFormat="1" applyFont="1" applyBorder="1" applyAlignment="1" applyProtection="1">
      <alignment horizontal="left"/>
      <protection locked="0"/>
    </xf>
    <xf numFmtId="0" fontId="25" fillId="39" borderId="13" xfId="0" applyFont="1" applyFill="1" applyBorder="1" applyAlignment="1" applyProtection="1">
      <alignment horizontal="center"/>
      <protection/>
    </xf>
    <xf numFmtId="0" fontId="0" fillId="34" borderId="16" xfId="0" applyFont="1" applyFill="1" applyBorder="1" applyAlignment="1">
      <alignment/>
    </xf>
    <xf numFmtId="0" fontId="3" fillId="34" borderId="16" xfId="0" applyFont="1" applyFill="1" applyBorder="1" applyAlignment="1">
      <alignment/>
    </xf>
    <xf numFmtId="195" fontId="111" fillId="35" borderId="0" xfId="49" applyNumberFormat="1" applyFont="1" applyFill="1" applyAlignment="1">
      <alignment/>
    </xf>
    <xf numFmtId="195" fontId="0" fillId="35" borderId="0" xfId="49" applyNumberFormat="1" applyFont="1" applyFill="1" applyAlignment="1">
      <alignment/>
    </xf>
    <xf numFmtId="195" fontId="0" fillId="35" borderId="0" xfId="49" applyNumberFormat="1" applyFont="1" applyFill="1" applyAlignment="1" applyProtection="1">
      <alignment/>
      <protection/>
    </xf>
    <xf numFmtId="195" fontId="5" fillId="35" borderId="0" xfId="49" applyNumberFormat="1" applyFont="1" applyFill="1" applyBorder="1" applyAlignment="1" applyProtection="1">
      <alignment horizontal="center"/>
      <protection/>
    </xf>
    <xf numFmtId="195" fontId="24" fillId="35" borderId="0" xfId="49" applyNumberFormat="1" applyFont="1" applyFill="1" applyBorder="1" applyAlignment="1" applyProtection="1">
      <alignment horizontal="center"/>
      <protection/>
    </xf>
    <xf numFmtId="0" fontId="5" fillId="35" borderId="0" xfId="49" applyNumberFormat="1" applyFont="1" applyFill="1" applyBorder="1" applyAlignment="1" applyProtection="1">
      <alignment horizontal="center" vertical="center"/>
      <protection/>
    </xf>
    <xf numFmtId="195" fontId="0" fillId="0" borderId="26" xfId="49" applyNumberFormat="1" applyFont="1" applyBorder="1" applyAlignment="1" applyProtection="1">
      <alignment/>
      <protection/>
    </xf>
    <xf numFmtId="195" fontId="2" fillId="36" borderId="29" xfId="49" applyNumberFormat="1" applyFont="1" applyFill="1" applyBorder="1" applyAlignment="1">
      <alignment horizontal="center" vertical="center" wrapText="1"/>
    </xf>
    <xf numFmtId="195" fontId="0" fillId="36" borderId="0" xfId="49" applyNumberFormat="1" applyFont="1" applyFill="1" applyAlignment="1" applyProtection="1">
      <alignment/>
      <protection hidden="1"/>
    </xf>
    <xf numFmtId="195" fontId="0" fillId="36" borderId="19" xfId="49" applyNumberFormat="1" applyFont="1" applyFill="1" applyBorder="1" applyAlignment="1" applyProtection="1">
      <alignment/>
      <protection hidden="1"/>
    </xf>
    <xf numFmtId="0" fontId="0" fillId="35" borderId="0" xfId="0" applyFont="1" applyFill="1" applyAlignment="1">
      <alignment/>
    </xf>
    <xf numFmtId="195" fontId="0" fillId="0" borderId="0" xfId="49" applyNumberFormat="1" applyFont="1" applyAlignment="1">
      <alignment/>
    </xf>
    <xf numFmtId="195" fontId="0" fillId="0" borderId="0" xfId="0" applyNumberFormat="1" applyAlignment="1">
      <alignment/>
    </xf>
    <xf numFmtId="195" fontId="125" fillId="0" borderId="0" xfId="49" applyNumberFormat="1" applyFont="1" applyAlignment="1">
      <alignment horizontal="left" vertical="top" wrapText="1"/>
    </xf>
    <xf numFmtId="0" fontId="0" fillId="38" borderId="0" xfId="0" applyFill="1" applyAlignment="1">
      <alignment/>
    </xf>
    <xf numFmtId="195" fontId="0" fillId="38" borderId="0" xfId="49" applyNumberFormat="1" applyFont="1" applyFill="1" applyAlignment="1">
      <alignment/>
    </xf>
    <xf numFmtId="0" fontId="12" fillId="38" borderId="0" xfId="0" applyFont="1" applyFill="1" applyBorder="1" applyAlignment="1">
      <alignment horizontal="left"/>
    </xf>
    <xf numFmtId="0" fontId="0" fillId="35" borderId="0" xfId="0" applyFill="1" applyAlignment="1">
      <alignment/>
    </xf>
    <xf numFmtId="0" fontId="0" fillId="40" borderId="0" xfId="0" applyFill="1" applyAlignment="1">
      <alignment/>
    </xf>
    <xf numFmtId="0" fontId="111" fillId="38" borderId="0" xfId="0" applyFont="1" applyFill="1" applyAlignment="1">
      <alignment/>
    </xf>
    <xf numFmtId="0" fontId="0" fillId="38" borderId="0" xfId="55" applyFont="1" applyFill="1">
      <alignment/>
      <protection/>
    </xf>
    <xf numFmtId="195" fontId="116" fillId="38" borderId="0" xfId="49" applyNumberFormat="1" applyFont="1" applyFill="1" applyAlignment="1">
      <alignment/>
    </xf>
    <xf numFmtId="195" fontId="4" fillId="38" borderId="0" xfId="49" applyNumberFormat="1" applyFont="1" applyFill="1" applyAlignment="1">
      <alignment horizontal="center"/>
    </xf>
    <xf numFmtId="195" fontId="17" fillId="38" borderId="0" xfId="49" applyNumberFormat="1" applyFont="1" applyFill="1" applyAlignment="1">
      <alignment horizontal="left"/>
    </xf>
    <xf numFmtId="195" fontId="34" fillId="38" borderId="0" xfId="49" applyNumberFormat="1" applyFont="1" applyFill="1" applyAlignment="1">
      <alignment horizontal="left"/>
    </xf>
    <xf numFmtId="195" fontId="41" fillId="38" borderId="0" xfId="49" applyNumberFormat="1" applyFont="1" applyFill="1" applyAlignment="1">
      <alignment horizontal="left" vertical="center"/>
    </xf>
    <xf numFmtId="0" fontId="5" fillId="33" borderId="18" xfId="49" applyNumberFormat="1" applyFont="1" applyFill="1" applyBorder="1" applyAlignment="1" applyProtection="1">
      <alignment horizontal="center" vertical="center"/>
      <protection/>
    </xf>
    <xf numFmtId="0" fontId="0" fillId="0" borderId="0" xfId="55" applyFont="1" applyBorder="1" applyAlignment="1" applyProtection="1">
      <alignment horizontal="center"/>
      <protection locked="0"/>
    </xf>
    <xf numFmtId="0" fontId="33" fillId="38" borderId="0" xfId="0" applyFont="1" applyFill="1" applyBorder="1" applyAlignment="1">
      <alignment horizontal="left"/>
    </xf>
    <xf numFmtId="9" fontId="0" fillId="41" borderId="10" xfId="0" applyNumberFormat="1" applyFont="1" applyFill="1" applyBorder="1" applyAlignment="1">
      <alignment horizontal="center" vertical="top" wrapText="1"/>
    </xf>
    <xf numFmtId="193" fontId="42" fillId="41" borderId="10" xfId="49" applyFont="1" applyFill="1" applyBorder="1" applyAlignment="1">
      <alignment horizontal="center" vertical="top" wrapText="1"/>
    </xf>
    <xf numFmtId="0" fontId="0" fillId="41" borderId="10" xfId="0" applyFont="1" applyFill="1" applyBorder="1" applyAlignment="1">
      <alignment/>
    </xf>
    <xf numFmtId="193" fontId="0" fillId="41" borderId="10" xfId="49" applyFont="1" applyFill="1" applyBorder="1" applyAlignment="1">
      <alignment/>
    </xf>
    <xf numFmtId="0" fontId="126" fillId="41" borderId="10" xfId="0" applyFont="1" applyFill="1" applyBorder="1" applyAlignment="1">
      <alignment horizontal="left" vertical="top" wrapText="1"/>
    </xf>
    <xf numFmtId="0" fontId="13" fillId="38" borderId="0" xfId="0" applyFont="1" applyFill="1" applyBorder="1" applyAlignment="1">
      <alignment horizontal="center"/>
    </xf>
    <xf numFmtId="0" fontId="0" fillId="41" borderId="0" xfId="0" applyFont="1" applyFill="1" applyAlignment="1">
      <alignment/>
    </xf>
    <xf numFmtId="195" fontId="0" fillId="41" borderId="0" xfId="49" applyNumberFormat="1" applyFont="1" applyFill="1" applyAlignment="1">
      <alignment/>
    </xf>
    <xf numFmtId="193" fontId="0" fillId="41" borderId="0" xfId="49" applyNumberFormat="1" applyFont="1" applyFill="1" applyAlignment="1">
      <alignment/>
    </xf>
    <xf numFmtId="0" fontId="0" fillId="41" borderId="30" xfId="0" applyFont="1" applyFill="1" applyBorder="1" applyAlignment="1">
      <alignment horizontal="center" vertical="top" wrapText="1"/>
    </xf>
    <xf numFmtId="0" fontId="0" fillId="41" borderId="31" xfId="0" applyFont="1" applyFill="1" applyBorder="1" applyAlignment="1">
      <alignment horizontal="center" vertical="top" wrapText="1"/>
    </xf>
    <xf numFmtId="0" fontId="0" fillId="41" borderId="32" xfId="0" applyFont="1" applyFill="1" applyBorder="1" applyAlignment="1">
      <alignment horizontal="center" vertical="top" wrapText="1"/>
    </xf>
    <xf numFmtId="0" fontId="0" fillId="41" borderId="10" xfId="0" applyFont="1" applyFill="1" applyBorder="1" applyAlignment="1">
      <alignment horizontal="center" vertical="top" wrapText="1"/>
    </xf>
    <xf numFmtId="0" fontId="0" fillId="41" borderId="33" xfId="0" applyFont="1" applyFill="1" applyBorder="1" applyAlignment="1">
      <alignment horizontal="center" vertical="top" wrapText="1"/>
    </xf>
    <xf numFmtId="0" fontId="0" fillId="41" borderId="34" xfId="0" applyFont="1" applyFill="1" applyBorder="1" applyAlignment="1">
      <alignment horizontal="center" vertical="top" wrapText="1"/>
    </xf>
    <xf numFmtId="0" fontId="111" fillId="42" borderId="33" xfId="0" applyFont="1" applyFill="1" applyBorder="1" applyAlignment="1">
      <alignment horizontal="center" vertical="top" wrapText="1"/>
    </xf>
    <xf numFmtId="0" fontId="111" fillId="42" borderId="34" xfId="0" applyFont="1" applyFill="1" applyBorder="1" applyAlignment="1">
      <alignment horizontal="center" vertical="top" wrapText="1"/>
    </xf>
    <xf numFmtId="195" fontId="0" fillId="43" borderId="0" xfId="49" applyNumberFormat="1" applyFont="1" applyFill="1" applyAlignment="1">
      <alignment/>
    </xf>
    <xf numFmtId="195" fontId="112" fillId="43" borderId="0" xfId="49" applyNumberFormat="1" applyFont="1" applyFill="1" applyAlignment="1">
      <alignment/>
    </xf>
    <xf numFmtId="0" fontId="5" fillId="43" borderId="10" xfId="0" applyFont="1" applyFill="1" applyBorder="1" applyAlignment="1">
      <alignment horizontal="left"/>
    </xf>
    <xf numFmtId="195" fontId="111" fillId="43" borderId="10" xfId="49" applyNumberFormat="1" applyFont="1" applyFill="1" applyBorder="1" applyAlignment="1" applyProtection="1">
      <alignment/>
      <protection/>
    </xf>
    <xf numFmtId="195" fontId="0" fillId="43" borderId="10" xfId="49" applyNumberFormat="1" applyFont="1" applyFill="1" applyBorder="1" applyAlignment="1">
      <alignment/>
    </xf>
    <xf numFmtId="195" fontId="111" fillId="43" borderId="10" xfId="49" applyNumberFormat="1" applyFont="1" applyFill="1" applyBorder="1" applyAlignment="1">
      <alignment/>
    </xf>
    <xf numFmtId="195" fontId="112" fillId="43" borderId="10" xfId="49" applyNumberFormat="1" applyFont="1" applyFill="1" applyBorder="1" applyAlignment="1">
      <alignment/>
    </xf>
    <xf numFmtId="0" fontId="5" fillId="33" borderId="17" xfId="0" applyFont="1" applyFill="1" applyBorder="1" applyAlignment="1" applyProtection="1">
      <alignment horizontal="left" vertical="center"/>
      <protection/>
    </xf>
    <xf numFmtId="0" fontId="5" fillId="33" borderId="18" xfId="0" applyFont="1" applyFill="1" applyBorder="1" applyAlignment="1">
      <alignment horizontal="left" vertical="center"/>
    </xf>
    <xf numFmtId="0" fontId="5" fillId="44" borderId="17" xfId="0" applyFont="1" applyFill="1" applyBorder="1" applyAlignment="1" applyProtection="1">
      <alignment horizontal="left" vertical="center"/>
      <protection/>
    </xf>
    <xf numFmtId="0" fontId="5" fillId="44" borderId="18" xfId="0" applyFont="1" applyFill="1" applyBorder="1" applyAlignment="1">
      <alignment horizontal="left" vertical="center"/>
    </xf>
    <xf numFmtId="195" fontId="43" fillId="33" borderId="10" xfId="49" applyNumberFormat="1" applyFont="1" applyFill="1" applyBorder="1" applyAlignment="1">
      <alignment horizontal="center"/>
    </xf>
    <xf numFmtId="195" fontId="111" fillId="33" borderId="10" xfId="49" applyNumberFormat="1" applyFont="1" applyFill="1" applyBorder="1" applyAlignment="1" applyProtection="1">
      <alignment horizontal="left"/>
      <protection/>
    </xf>
    <xf numFmtId="0" fontId="5" fillId="33" borderId="16" xfId="0" applyFont="1" applyFill="1" applyBorder="1" applyAlignment="1">
      <alignment horizontal="left" vertical="center"/>
    </xf>
    <xf numFmtId="193" fontId="5" fillId="33" borderId="10" xfId="49" applyNumberFormat="1" applyFont="1" applyFill="1" applyBorder="1" applyAlignment="1" applyProtection="1">
      <alignment vertical="center"/>
      <protection/>
    </xf>
    <xf numFmtId="0" fontId="5" fillId="44" borderId="16" xfId="0" applyFont="1" applyFill="1" applyBorder="1" applyAlignment="1">
      <alignment horizontal="left" vertical="center"/>
    </xf>
    <xf numFmtId="10" fontId="5" fillId="44" borderId="10" xfId="57" applyNumberFormat="1" applyFont="1" applyFill="1" applyBorder="1" applyAlignment="1" applyProtection="1">
      <alignment vertical="center"/>
      <protection/>
    </xf>
    <xf numFmtId="10" fontId="127" fillId="38" borderId="0" xfId="57" applyNumberFormat="1" applyFont="1" applyFill="1" applyAlignment="1">
      <alignment horizontal="right"/>
    </xf>
    <xf numFmtId="195" fontId="0" fillId="35" borderId="0" xfId="49" applyNumberFormat="1" applyFont="1" applyFill="1" applyAlignment="1">
      <alignment horizontal="left"/>
    </xf>
    <xf numFmtId="195" fontId="18" fillId="35" borderId="0" xfId="49" applyNumberFormat="1" applyFont="1" applyFill="1" applyAlignment="1">
      <alignment horizontal="left"/>
    </xf>
    <xf numFmtId="195" fontId="41" fillId="35" borderId="0" xfId="49" applyNumberFormat="1" applyFont="1" applyFill="1" applyAlignment="1">
      <alignment horizontal="left" vertical="center"/>
    </xf>
    <xf numFmtId="195" fontId="27" fillId="36" borderId="10" xfId="49" applyNumberFormat="1" applyFont="1" applyFill="1" applyBorder="1" applyAlignment="1">
      <alignment horizontal="center"/>
    </xf>
    <xf numFmtId="195" fontId="2" fillId="36" borderId="10" xfId="49" applyNumberFormat="1" applyFont="1" applyFill="1" applyBorder="1" applyAlignment="1">
      <alignment/>
    </xf>
    <xf numFmtId="195" fontId="10" fillId="36" borderId="10" xfId="46" applyNumberFormat="1" applyFont="1" applyFill="1" applyBorder="1" applyAlignment="1" applyProtection="1">
      <alignment horizontal="center" vertical="center" wrapText="1"/>
      <protection/>
    </xf>
    <xf numFmtId="195" fontId="5" fillId="0" borderId="0" xfId="49" applyNumberFormat="1" applyFont="1" applyFill="1" applyBorder="1" applyAlignment="1" applyProtection="1">
      <alignment horizontal="center"/>
      <protection/>
    </xf>
    <xf numFmtId="195" fontId="24" fillId="0" borderId="0" xfId="49" applyNumberFormat="1" applyFont="1" applyFill="1" applyBorder="1" applyAlignment="1" applyProtection="1">
      <alignment horizontal="center"/>
      <protection/>
    </xf>
    <xf numFmtId="0" fontId="5" fillId="0" borderId="0" xfId="49" applyNumberFormat="1" applyFont="1" applyFill="1" applyBorder="1" applyAlignment="1" applyProtection="1">
      <alignment horizontal="center" vertical="center"/>
      <protection/>
    </xf>
    <xf numFmtId="0" fontId="128" fillId="36" borderId="10" xfId="49" applyNumberFormat="1" applyFont="1" applyFill="1" applyBorder="1" applyAlignment="1" applyProtection="1">
      <alignment horizontal="center" vertical="center"/>
      <protection/>
    </xf>
    <xf numFmtId="0" fontId="129" fillId="33" borderId="13" xfId="0" applyFont="1" applyFill="1" applyBorder="1" applyAlignment="1">
      <alignment horizontal="center"/>
    </xf>
    <xf numFmtId="0" fontId="130" fillId="0" borderId="0" xfId="0" applyFont="1" applyAlignment="1">
      <alignment/>
    </xf>
    <xf numFmtId="0" fontId="131" fillId="33" borderId="13" xfId="0" applyFont="1" applyFill="1" applyBorder="1" applyAlignment="1">
      <alignment horizontal="center"/>
    </xf>
    <xf numFmtId="195" fontId="2" fillId="40" borderId="10" xfId="49" applyNumberFormat="1" applyFont="1" applyFill="1" applyBorder="1" applyAlignment="1" applyProtection="1">
      <alignment horizontal="center"/>
      <protection/>
    </xf>
    <xf numFmtId="195" fontId="0" fillId="0" borderId="10" xfId="49" applyNumberFormat="1" applyFont="1" applyFill="1" applyBorder="1" applyAlignment="1" applyProtection="1">
      <alignment horizontal="center"/>
      <protection/>
    </xf>
    <xf numFmtId="0" fontId="33" fillId="0" borderId="0" xfId="0" applyFont="1" applyFill="1" applyAlignment="1" applyProtection="1">
      <alignment horizontal="left"/>
      <protection/>
    </xf>
    <xf numFmtId="0" fontId="4" fillId="0" borderId="0" xfId="0" applyFont="1" applyFill="1" applyAlignment="1" applyProtection="1">
      <alignment horizontal="left"/>
      <protection/>
    </xf>
    <xf numFmtId="195" fontId="33" fillId="40" borderId="14" xfId="49" applyNumberFormat="1" applyFont="1" applyFill="1" applyBorder="1" applyAlignment="1" applyProtection="1">
      <alignment horizontal="center"/>
      <protection/>
    </xf>
    <xf numFmtId="195" fontId="24" fillId="33" borderId="10" xfId="49" applyNumberFormat="1" applyFont="1" applyFill="1" applyBorder="1" applyAlignment="1">
      <alignment horizontal="center" vertical="center"/>
    </xf>
    <xf numFmtId="195" fontId="5" fillId="33" borderId="35" xfId="49" applyNumberFormat="1" applyFont="1" applyFill="1" applyBorder="1" applyAlignment="1" applyProtection="1">
      <alignment horizontal="center" vertical="center"/>
      <protection/>
    </xf>
    <xf numFmtId="0" fontId="132" fillId="0" borderId="0" xfId="55" applyFont="1" applyProtection="1">
      <alignment/>
      <protection hidden="1"/>
    </xf>
    <xf numFmtId="195" fontId="3" fillId="41" borderId="10" xfId="49" applyNumberFormat="1" applyFont="1" applyFill="1" applyBorder="1" applyAlignment="1" applyProtection="1">
      <alignment/>
      <protection locked="0"/>
    </xf>
    <xf numFmtId="195" fontId="120" fillId="41" borderId="10" xfId="49" applyNumberFormat="1" applyFont="1" applyFill="1" applyBorder="1" applyAlignment="1">
      <alignment horizontal="center"/>
    </xf>
    <xf numFmtId="195" fontId="2" fillId="39" borderId="28" xfId="49" applyNumberFormat="1" applyFont="1" applyFill="1" applyBorder="1" applyAlignment="1">
      <alignment vertical="center" wrapText="1"/>
    </xf>
    <xf numFmtId="195" fontId="0" fillId="39" borderId="28" xfId="49" applyNumberFormat="1" applyFont="1" applyFill="1" applyBorder="1" applyAlignment="1">
      <alignment horizontal="center"/>
    </xf>
    <xf numFmtId="0" fontId="0" fillId="41" borderId="10" xfId="55" applyFont="1" applyFill="1" applyBorder="1" applyAlignment="1" applyProtection="1">
      <alignment horizontal="left"/>
      <protection/>
    </xf>
    <xf numFmtId="0" fontId="33" fillId="41" borderId="10" xfId="55" applyFont="1" applyFill="1" applyBorder="1" applyAlignment="1" applyProtection="1">
      <alignment horizontal="left"/>
      <protection/>
    </xf>
    <xf numFmtId="195" fontId="112" fillId="43" borderId="10" xfId="49" applyNumberFormat="1" applyFont="1" applyFill="1" applyBorder="1" applyAlignment="1" applyProtection="1">
      <alignment/>
      <protection locked="0"/>
    </xf>
    <xf numFmtId="195" fontId="133" fillId="43" borderId="10" xfId="49" applyNumberFormat="1" applyFont="1" applyFill="1" applyBorder="1" applyAlignment="1">
      <alignment horizontal="center"/>
    </xf>
    <xf numFmtId="0" fontId="134" fillId="0" borderId="0" xfId="0" applyFont="1" applyAlignment="1">
      <alignment/>
    </xf>
    <xf numFmtId="195" fontId="0" fillId="34" borderId="10" xfId="49" applyNumberFormat="1" applyFont="1" applyFill="1" applyBorder="1" applyAlignment="1" applyProtection="1">
      <alignment horizontal="center" vertical="center"/>
      <protection hidden="1"/>
    </xf>
    <xf numFmtId="195" fontId="121" fillId="36" borderId="19" xfId="49" applyNumberFormat="1" applyFont="1" applyFill="1" applyBorder="1" applyAlignment="1">
      <alignment horizontal="center" vertical="center" wrapText="1"/>
    </xf>
    <xf numFmtId="195" fontId="121" fillId="36" borderId="29" xfId="49" applyNumberFormat="1" applyFont="1" applyFill="1" applyBorder="1" applyAlignment="1">
      <alignment horizontal="center" vertical="center" wrapText="1"/>
    </xf>
    <xf numFmtId="195" fontId="121" fillId="36" borderId="10" xfId="49" applyNumberFormat="1" applyFont="1" applyFill="1" applyBorder="1" applyAlignment="1">
      <alignment horizontal="center" vertical="center" wrapText="1"/>
    </xf>
    <xf numFmtId="195" fontId="121" fillId="36" borderId="10" xfId="49" applyNumberFormat="1" applyFont="1" applyFill="1" applyBorder="1" applyAlignment="1">
      <alignment/>
    </xf>
    <xf numFmtId="195" fontId="116" fillId="0" borderId="10" xfId="49" applyNumberFormat="1" applyFont="1" applyBorder="1" applyAlignment="1">
      <alignment/>
    </xf>
    <xf numFmtId="0" fontId="135" fillId="0" borderId="0" xfId="46" applyFont="1" applyAlignment="1" applyProtection="1">
      <alignment/>
      <protection/>
    </xf>
    <xf numFmtId="0" fontId="116" fillId="35" borderId="0" xfId="55" applyFont="1" applyFill="1" applyProtection="1">
      <alignment/>
      <protection hidden="1"/>
    </xf>
    <xf numFmtId="14" fontId="116" fillId="35" borderId="0" xfId="55" applyNumberFormat="1" applyFont="1" applyFill="1" applyProtection="1">
      <alignment/>
      <protection hidden="1"/>
    </xf>
    <xf numFmtId="195" fontId="116" fillId="43" borderId="0" xfId="49" applyNumberFormat="1" applyFont="1" applyFill="1" applyAlignment="1">
      <alignment/>
    </xf>
    <xf numFmtId="10" fontId="35" fillId="43" borderId="10" xfId="57" applyNumberFormat="1" applyFont="1" applyFill="1" applyBorder="1" applyAlignment="1">
      <alignment/>
    </xf>
    <xf numFmtId="195" fontId="32" fillId="43" borderId="17" xfId="49" applyNumberFormat="1" applyFont="1" applyFill="1" applyBorder="1" applyAlignment="1">
      <alignment/>
    </xf>
    <xf numFmtId="195" fontId="136" fillId="43" borderId="17" xfId="49" applyNumberFormat="1" applyFont="1" applyFill="1" applyBorder="1" applyAlignment="1">
      <alignment/>
    </xf>
    <xf numFmtId="0" fontId="0" fillId="35" borderId="16" xfId="0" applyFont="1" applyFill="1" applyBorder="1" applyAlignment="1">
      <alignment/>
    </xf>
    <xf numFmtId="0" fontId="3" fillId="35" borderId="16" xfId="0" applyFont="1" applyFill="1" applyBorder="1" applyAlignment="1">
      <alignment/>
    </xf>
    <xf numFmtId="195" fontId="3" fillId="35" borderId="10" xfId="49" applyNumberFormat="1" applyFont="1" applyFill="1" applyBorder="1" applyAlignment="1" applyProtection="1">
      <alignment/>
      <protection locked="0"/>
    </xf>
    <xf numFmtId="0" fontId="0" fillId="0" borderId="10" xfId="0" applyFont="1" applyFill="1" applyBorder="1" applyAlignment="1" applyProtection="1">
      <alignment horizontal="left" wrapText="1"/>
      <protection/>
    </xf>
    <xf numFmtId="0" fontId="0" fillId="0" borderId="10" xfId="0" applyFont="1" applyFill="1" applyBorder="1" applyAlignment="1" applyProtection="1">
      <alignment horizontal="left"/>
      <protection/>
    </xf>
    <xf numFmtId="0" fontId="0" fillId="39" borderId="10" xfId="55" applyFont="1" applyFill="1" applyBorder="1">
      <alignment/>
      <protection/>
    </xf>
    <xf numFmtId="0" fontId="3" fillId="35" borderId="16" xfId="0" applyFont="1" applyFill="1" applyBorder="1" applyAlignment="1">
      <alignment horizontal="left"/>
    </xf>
    <xf numFmtId="195" fontId="0" fillId="0" borderId="18" xfId="49" applyNumberFormat="1" applyFont="1" applyFill="1" applyBorder="1" applyAlignment="1" applyProtection="1">
      <alignment/>
      <protection/>
    </xf>
    <xf numFmtId="195" fontId="3" fillId="0" borderId="18" xfId="49" applyNumberFormat="1" applyFont="1" applyFill="1" applyBorder="1" applyAlignment="1" applyProtection="1">
      <alignment/>
      <protection/>
    </xf>
    <xf numFmtId="0" fontId="0" fillId="35" borderId="0" xfId="55" applyFont="1" applyFill="1">
      <alignment/>
      <protection/>
    </xf>
    <xf numFmtId="0" fontId="3" fillId="35" borderId="16" xfId="55" applyFont="1" applyFill="1" applyBorder="1" applyAlignment="1">
      <alignment horizontal="left"/>
      <protection/>
    </xf>
    <xf numFmtId="0" fontId="3" fillId="35" borderId="10" xfId="0" applyFont="1" applyFill="1" applyBorder="1" applyAlignment="1">
      <alignment horizontal="left"/>
    </xf>
    <xf numFmtId="195" fontId="3" fillId="0" borderId="0" xfId="49" applyNumberFormat="1" applyFont="1" applyFill="1" applyAlignment="1" applyProtection="1">
      <alignment/>
      <protection/>
    </xf>
    <xf numFmtId="10" fontId="3" fillId="0" borderId="10" xfId="57" applyNumberFormat="1" applyFont="1" applyFill="1" applyBorder="1" applyAlignment="1" applyProtection="1">
      <alignment/>
      <protection/>
    </xf>
    <xf numFmtId="195" fontId="3" fillId="36" borderId="10" xfId="49" applyNumberFormat="1" applyFont="1" applyFill="1" applyBorder="1" applyAlignment="1" applyProtection="1">
      <alignment/>
      <protection locked="0"/>
    </xf>
    <xf numFmtId="195" fontId="34" fillId="38" borderId="0" xfId="49" applyNumberFormat="1" applyFont="1" applyFill="1" applyAlignment="1">
      <alignment horizontal="left" vertical="top"/>
    </xf>
    <xf numFmtId="195" fontId="0" fillId="0" borderId="0" xfId="49" applyNumberFormat="1" applyFont="1" applyAlignment="1" applyProtection="1">
      <alignment/>
      <protection locked="0"/>
    </xf>
    <xf numFmtId="0" fontId="0" fillId="0" borderId="0" xfId="55" applyFont="1" applyProtection="1">
      <alignment/>
      <protection locked="0"/>
    </xf>
    <xf numFmtId="195" fontId="116" fillId="0" borderId="0" xfId="49" applyNumberFormat="1" applyFont="1" applyAlignment="1" applyProtection="1">
      <alignment/>
      <protection locked="0"/>
    </xf>
    <xf numFmtId="0" fontId="116" fillId="0" borderId="0" xfId="55" applyFont="1" applyProtection="1">
      <alignment/>
      <protection locked="0"/>
    </xf>
    <xf numFmtId="0" fontId="7" fillId="0" borderId="0" xfId="46" applyFont="1" applyAlignment="1" applyProtection="1">
      <alignment/>
      <protection locked="0"/>
    </xf>
    <xf numFmtId="194" fontId="0" fillId="0" borderId="0" xfId="49" applyNumberFormat="1" applyFont="1" applyFill="1" applyAlignment="1" applyProtection="1">
      <alignment/>
      <protection locked="0"/>
    </xf>
    <xf numFmtId="195" fontId="111" fillId="0" borderId="0" xfId="49" applyNumberFormat="1" applyFont="1" applyFill="1" applyAlignment="1">
      <alignment/>
    </xf>
    <xf numFmtId="195" fontId="137" fillId="36" borderId="10" xfId="49" applyNumberFormat="1" applyFont="1" applyFill="1" applyBorder="1" applyAlignment="1" applyProtection="1">
      <alignment horizontal="center"/>
      <protection/>
    </xf>
    <xf numFmtId="0" fontId="44" fillId="0" borderId="0" xfId="0" applyFont="1" applyAlignment="1">
      <alignment/>
    </xf>
    <xf numFmtId="195" fontId="0" fillId="35" borderId="10" xfId="49" applyNumberFormat="1" applyFont="1" applyFill="1" applyBorder="1" applyAlignment="1" applyProtection="1">
      <alignment horizontal="center"/>
      <protection locked="0"/>
    </xf>
    <xf numFmtId="195" fontId="138" fillId="35" borderId="10" xfId="49" applyNumberFormat="1" applyFont="1" applyFill="1" applyBorder="1" applyAlignment="1" applyProtection="1">
      <alignment horizontal="center"/>
      <protection locked="0"/>
    </xf>
    <xf numFmtId="195" fontId="118" fillId="35" borderId="18" xfId="49" applyNumberFormat="1" applyFont="1" applyFill="1" applyBorder="1" applyAlignment="1" applyProtection="1">
      <alignment horizontal="right"/>
      <protection locked="0"/>
    </xf>
    <xf numFmtId="195" fontId="0" fillId="0" borderId="15" xfId="49" applyNumberFormat="1" applyFont="1" applyBorder="1" applyAlignment="1" applyProtection="1">
      <alignment horizontal="left"/>
      <protection locked="0"/>
    </xf>
    <xf numFmtId="195" fontId="139" fillId="33" borderId="10" xfId="49" applyNumberFormat="1" applyFont="1" applyFill="1" applyBorder="1" applyAlignment="1">
      <alignment horizontal="center"/>
    </xf>
    <xf numFmtId="195" fontId="140" fillId="33" borderId="10" xfId="49" applyNumberFormat="1" applyFont="1" applyFill="1" applyBorder="1" applyAlignment="1">
      <alignment horizontal="center"/>
    </xf>
    <xf numFmtId="0" fontId="8" fillId="35" borderId="10" xfId="0" applyFont="1" applyFill="1" applyBorder="1" applyAlignment="1">
      <alignment horizontal="left"/>
    </xf>
    <xf numFmtId="195" fontId="0" fillId="0" borderId="10" xfId="49" applyNumberFormat="1" applyFont="1" applyBorder="1" applyAlignment="1" applyProtection="1">
      <alignment vertical="center"/>
      <protection locked="0"/>
    </xf>
    <xf numFmtId="195" fontId="116" fillId="0" borderId="0" xfId="49" applyNumberFormat="1" applyFont="1" applyAlignment="1" applyProtection="1">
      <alignment horizontal="left" wrapText="1"/>
      <protection locked="0"/>
    </xf>
    <xf numFmtId="0" fontId="13" fillId="38" borderId="0" xfId="0" applyFont="1" applyFill="1" applyAlignment="1">
      <alignment vertical="center"/>
    </xf>
    <xf numFmtId="0" fontId="116" fillId="0" borderId="0" xfId="46" applyFont="1" applyAlignment="1" applyProtection="1">
      <alignment/>
      <protection locked="0"/>
    </xf>
    <xf numFmtId="194" fontId="116" fillId="0" borderId="0" xfId="49" applyNumberFormat="1" applyFont="1" applyFill="1" applyAlignment="1" applyProtection="1">
      <alignment/>
      <protection locked="0"/>
    </xf>
    <xf numFmtId="0" fontId="40" fillId="38" borderId="0" xfId="0" applyFont="1" applyFill="1" applyAlignment="1">
      <alignment horizontal="left"/>
    </xf>
    <xf numFmtId="195" fontId="141" fillId="0" borderId="0" xfId="49" applyNumberFormat="1" applyFont="1" applyAlignment="1" applyProtection="1">
      <alignment horizontal="left" vertical="center" wrapText="1"/>
      <protection hidden="1"/>
    </xf>
    <xf numFmtId="195" fontId="2" fillId="36" borderId="19" xfId="49" applyNumberFormat="1" applyFont="1" applyFill="1" applyBorder="1" applyAlignment="1">
      <alignment horizontal="center" vertical="center" wrapText="1"/>
    </xf>
    <xf numFmtId="195" fontId="2" fillId="36" borderId="29" xfId="49" applyNumberFormat="1" applyFont="1" applyFill="1" applyBorder="1" applyAlignment="1">
      <alignment horizontal="center" vertical="center" wrapText="1"/>
    </xf>
    <xf numFmtId="195" fontId="0" fillId="0" borderId="19" xfId="49" applyNumberFormat="1" applyFont="1" applyBorder="1" applyAlignment="1" applyProtection="1">
      <alignment horizontal="right" vertical="center"/>
      <protection locked="0"/>
    </xf>
    <xf numFmtId="195" fontId="0" fillId="0" borderId="28" xfId="49" applyNumberFormat="1" applyFont="1" applyBorder="1" applyAlignment="1" applyProtection="1">
      <alignment horizontal="right" vertical="center"/>
      <protection locked="0"/>
    </xf>
    <xf numFmtId="0" fontId="0" fillId="36" borderId="10" xfId="0" applyFont="1" applyFill="1" applyBorder="1" applyAlignment="1" applyProtection="1">
      <alignment horizontal="left" vertical="top"/>
      <protection/>
    </xf>
    <xf numFmtId="195" fontId="2" fillId="36" borderId="28" xfId="49" applyNumberFormat="1" applyFont="1" applyFill="1" applyBorder="1" applyAlignment="1">
      <alignment horizontal="center" vertical="center" wrapText="1"/>
    </xf>
    <xf numFmtId="0" fontId="0" fillId="34" borderId="16"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6" borderId="10" xfId="55" applyFont="1" applyFill="1" applyBorder="1" applyAlignment="1" applyProtection="1">
      <alignment horizontal="left" vertical="top"/>
      <protection/>
    </xf>
    <xf numFmtId="0" fontId="0" fillId="39" borderId="16" xfId="0" applyFont="1" applyFill="1" applyBorder="1" applyAlignment="1">
      <alignment vertical="center" wrapText="1"/>
    </xf>
    <xf numFmtId="0" fontId="0" fillId="39" borderId="18" xfId="0" applyFont="1" applyFill="1" applyBorder="1" applyAlignment="1">
      <alignment vertical="center" wrapText="1"/>
    </xf>
    <xf numFmtId="0" fontId="0" fillId="34" borderId="16" xfId="0" applyFont="1" applyFill="1" applyBorder="1" applyAlignment="1">
      <alignment/>
    </xf>
    <xf numFmtId="0" fontId="0" fillId="34" borderId="18" xfId="0" applyFont="1" applyFill="1" applyBorder="1" applyAlignment="1">
      <alignment/>
    </xf>
    <xf numFmtId="195" fontId="0" fillId="34" borderId="19" xfId="49" applyNumberFormat="1" applyFont="1" applyFill="1" applyBorder="1" applyAlignment="1" applyProtection="1">
      <alignment horizontal="center" vertical="center"/>
      <protection hidden="1"/>
    </xf>
    <xf numFmtId="195" fontId="0" fillId="34" borderId="29" xfId="49" applyNumberFormat="1" applyFont="1" applyFill="1" applyBorder="1" applyAlignment="1" applyProtection="1">
      <alignment horizontal="center" vertical="center"/>
      <protection hidden="1"/>
    </xf>
    <xf numFmtId="195" fontId="0" fillId="34" borderId="28" xfId="49" applyNumberFormat="1" applyFont="1" applyFill="1" applyBorder="1" applyAlignment="1" applyProtection="1">
      <alignment horizontal="center" vertical="center"/>
      <protection hidden="1"/>
    </xf>
    <xf numFmtId="0" fontId="0" fillId="34" borderId="16" xfId="0" applyFont="1" applyFill="1" applyBorder="1" applyAlignment="1">
      <alignment horizontal="left" vertical="center"/>
    </xf>
    <xf numFmtId="0" fontId="0" fillId="34" borderId="18" xfId="0" applyFont="1" applyFill="1" applyBorder="1" applyAlignment="1">
      <alignment horizontal="left" vertical="center"/>
    </xf>
    <xf numFmtId="195" fontId="125" fillId="0" borderId="0" xfId="49" applyNumberFormat="1" applyFont="1" applyAlignment="1">
      <alignment horizontal="left" vertical="top" wrapText="1"/>
    </xf>
    <xf numFmtId="0" fontId="3" fillId="34" borderId="16" xfId="0" applyFont="1" applyFill="1" applyBorder="1" applyAlignment="1">
      <alignment horizontal="left" vertical="center"/>
    </xf>
    <xf numFmtId="0" fontId="3" fillId="34" borderId="18" xfId="0" applyFont="1" applyFill="1" applyBorder="1" applyAlignment="1">
      <alignment horizontal="left" vertical="center"/>
    </xf>
    <xf numFmtId="0" fontId="0" fillId="34" borderId="16" xfId="0" applyFont="1" applyFill="1" applyBorder="1" applyAlignment="1">
      <alignment vertical="center" wrapText="1"/>
    </xf>
    <xf numFmtId="0" fontId="0" fillId="34" borderId="18" xfId="0" applyFont="1" applyFill="1" applyBorder="1" applyAlignment="1">
      <alignment vertical="center" wrapText="1"/>
    </xf>
    <xf numFmtId="195" fontId="142" fillId="45" borderId="10" xfId="49" applyNumberFormat="1" applyFont="1" applyFill="1" applyBorder="1" applyAlignment="1">
      <alignment horizontal="center"/>
    </xf>
    <xf numFmtId="0" fontId="3" fillId="34" borderId="16" xfId="0" applyFont="1" applyFill="1" applyBorder="1" applyAlignment="1">
      <alignment/>
    </xf>
    <xf numFmtId="0" fontId="3" fillId="34" borderId="18" xfId="0" applyFont="1" applyFill="1" applyBorder="1" applyAlignment="1">
      <alignment/>
    </xf>
    <xf numFmtId="0" fontId="0" fillId="34" borderId="20"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16" xfId="46" applyFont="1" applyFill="1" applyBorder="1" applyAlignment="1" applyProtection="1">
      <alignment/>
      <protection/>
    </xf>
    <xf numFmtId="0" fontId="0" fillId="34" borderId="18" xfId="46" applyFont="1" applyFill="1" applyBorder="1" applyAlignment="1" applyProtection="1">
      <alignment/>
      <protection/>
    </xf>
    <xf numFmtId="0" fontId="3" fillId="34" borderId="16" xfId="0" applyFont="1" applyFill="1" applyBorder="1" applyAlignment="1">
      <alignment horizontal="left"/>
    </xf>
    <xf numFmtId="0" fontId="3" fillId="34" borderId="18" xfId="0" applyFont="1" applyFill="1" applyBorder="1" applyAlignment="1">
      <alignment horizontal="left"/>
    </xf>
    <xf numFmtId="195" fontId="143" fillId="0" borderId="0" xfId="49" applyNumberFormat="1" applyFont="1" applyAlignment="1" applyProtection="1">
      <alignment horizontal="left" wrapText="1"/>
      <protection locked="0"/>
    </xf>
    <xf numFmtId="195" fontId="10" fillId="0" borderId="0" xfId="49" applyNumberFormat="1" applyFont="1" applyAlignment="1" applyProtection="1">
      <alignment horizontal="center" vertical="center" wrapText="1"/>
      <protection hidden="1"/>
    </xf>
    <xf numFmtId="195" fontId="134" fillId="39" borderId="11" xfId="49" applyNumberFormat="1" applyFont="1" applyFill="1" applyBorder="1" applyAlignment="1">
      <alignment horizontal="center"/>
    </xf>
    <xf numFmtId="195" fontId="134" fillId="39" borderId="13" xfId="49" applyNumberFormat="1" applyFont="1" applyFill="1" applyBorder="1" applyAlignment="1">
      <alignment horizontal="center"/>
    </xf>
    <xf numFmtId="0" fontId="0" fillId="34" borderId="19" xfId="0" applyFont="1" applyFill="1" applyBorder="1" applyAlignment="1">
      <alignment horizontal="left" vertical="center"/>
    </xf>
    <xf numFmtId="0" fontId="0" fillId="34" borderId="28" xfId="0" applyFont="1" applyFill="1" applyBorder="1" applyAlignment="1">
      <alignment horizontal="left" vertical="center"/>
    </xf>
    <xf numFmtId="195" fontId="0" fillId="34" borderId="19" xfId="49" applyNumberFormat="1" applyFont="1" applyFill="1" applyBorder="1" applyAlignment="1">
      <alignment horizontal="center"/>
    </xf>
    <xf numFmtId="195" fontId="0" fillId="34" borderId="28" xfId="49" applyNumberFormat="1" applyFont="1" applyFill="1" applyBorder="1" applyAlignment="1">
      <alignment horizontal="center"/>
    </xf>
    <xf numFmtId="195" fontId="0" fillId="0" borderId="23" xfId="49" applyNumberFormat="1" applyFont="1" applyBorder="1" applyAlignment="1">
      <alignment horizontal="left"/>
    </xf>
    <xf numFmtId="195" fontId="0" fillId="0" borderId="0" xfId="49" applyNumberFormat="1" applyFont="1" applyAlignment="1">
      <alignment horizontal="left"/>
    </xf>
    <xf numFmtId="0" fontId="111" fillId="42" borderId="36" xfId="0" applyFont="1" applyFill="1" applyBorder="1" applyAlignment="1">
      <alignment horizontal="center" vertical="center" wrapText="1"/>
    </xf>
    <xf numFmtId="0" fontId="111" fillId="42" borderId="23" xfId="0" applyFont="1" applyFill="1" applyBorder="1" applyAlignment="1">
      <alignment horizontal="center" vertical="center" wrapText="1"/>
    </xf>
    <xf numFmtId="0" fontId="111" fillId="42" borderId="37" xfId="0" applyFont="1" applyFill="1" applyBorder="1" applyAlignment="1">
      <alignment horizontal="center" vertical="center" wrapText="1"/>
    </xf>
    <xf numFmtId="0" fontId="111" fillId="42" borderId="0" xfId="0" applyFont="1" applyFill="1" applyBorder="1" applyAlignment="1">
      <alignment horizontal="center" vertical="center" wrapText="1"/>
    </xf>
    <xf numFmtId="0" fontId="111" fillId="42" borderId="38" xfId="0" applyFont="1" applyFill="1" applyBorder="1" applyAlignment="1">
      <alignment horizontal="center" vertical="center" wrapText="1"/>
    </xf>
    <xf numFmtId="0" fontId="111" fillId="42" borderId="39" xfId="0" applyFont="1" applyFill="1" applyBorder="1" applyAlignment="1">
      <alignment horizontal="center" vertical="center" wrapText="1"/>
    </xf>
    <xf numFmtId="0" fontId="33" fillId="38" borderId="40" xfId="0" applyFont="1" applyFill="1" applyBorder="1" applyAlignment="1">
      <alignment horizontal="left"/>
    </xf>
    <xf numFmtId="0" fontId="33" fillId="38" borderId="41" xfId="0" applyFont="1" applyFill="1" applyBorder="1" applyAlignment="1">
      <alignment horizontal="left"/>
    </xf>
    <xf numFmtId="0" fontId="33" fillId="38" borderId="35" xfId="0" applyFont="1" applyFill="1" applyBorder="1" applyAlignment="1">
      <alignment horizontal="left"/>
    </xf>
    <xf numFmtId="0" fontId="111" fillId="42" borderId="42" xfId="0" applyFont="1" applyFill="1" applyBorder="1" applyAlignment="1">
      <alignment horizontal="center" vertical="center" wrapText="1"/>
    </xf>
    <xf numFmtId="0" fontId="111" fillId="42" borderId="43" xfId="0" applyFont="1" applyFill="1" applyBorder="1" applyAlignment="1">
      <alignment horizontal="center" vertical="center" wrapText="1"/>
    </xf>
    <xf numFmtId="0" fontId="111" fillId="42" borderId="44" xfId="0" applyFont="1" applyFill="1" applyBorder="1" applyAlignment="1">
      <alignment horizontal="center" vertical="top" wrapText="1"/>
    </xf>
    <xf numFmtId="0" fontId="111" fillId="42" borderId="29" xfId="0" applyFont="1" applyFill="1" applyBorder="1" applyAlignment="1">
      <alignment horizontal="center" vertical="top" wrapText="1"/>
    </xf>
    <xf numFmtId="0" fontId="33" fillId="40" borderId="11" xfId="0" applyFont="1" applyFill="1" applyBorder="1" applyAlignment="1" applyProtection="1">
      <alignment horizontal="center"/>
      <protection/>
    </xf>
    <xf numFmtId="0" fontId="33" fillId="40" borderId="12" xfId="0" applyFont="1" applyFill="1" applyBorder="1" applyAlignment="1" applyProtection="1">
      <alignment horizontal="center"/>
      <protection/>
    </xf>
    <xf numFmtId="0" fontId="33" fillId="40" borderId="13" xfId="0" applyFont="1" applyFill="1" applyBorder="1" applyAlignment="1" applyProtection="1">
      <alignment horizontal="center"/>
      <protection/>
    </xf>
    <xf numFmtId="2" fontId="0" fillId="0" borderId="16" xfId="0" applyNumberFormat="1" applyFont="1" applyFill="1" applyBorder="1" applyAlignment="1" applyProtection="1">
      <alignment/>
      <protection/>
    </xf>
    <xf numFmtId="2" fontId="0" fillId="0" borderId="18" xfId="0" applyNumberFormat="1" applyFont="1" applyFill="1" applyBorder="1" applyAlignment="1" applyProtection="1">
      <alignment/>
      <protection/>
    </xf>
    <xf numFmtId="0" fontId="3" fillId="0" borderId="16" xfId="0" applyFont="1" applyFill="1" applyBorder="1" applyAlignment="1" applyProtection="1">
      <alignment horizontal="left"/>
      <protection/>
    </xf>
    <xf numFmtId="0" fontId="3" fillId="0" borderId="18" xfId="0" applyFont="1" applyFill="1" applyBorder="1" applyAlignment="1" applyProtection="1">
      <alignment horizontal="left"/>
      <protection/>
    </xf>
    <xf numFmtId="0" fontId="0" fillId="0" borderId="16" xfId="0" applyFont="1" applyFill="1" applyBorder="1" applyAlignment="1" applyProtection="1">
      <alignment/>
      <protection/>
    </xf>
    <xf numFmtId="0" fontId="0" fillId="0" borderId="18" xfId="0" applyFont="1" applyFill="1" applyBorder="1" applyAlignment="1" applyProtection="1">
      <alignment/>
      <protection/>
    </xf>
    <xf numFmtId="0" fontId="3" fillId="0" borderId="16" xfId="0" applyFont="1" applyFill="1" applyBorder="1" applyAlignment="1" applyProtection="1">
      <alignment/>
      <protection/>
    </xf>
    <xf numFmtId="0" fontId="3" fillId="0" borderId="18" xfId="0" applyFont="1" applyFill="1" applyBorder="1" applyAlignment="1" applyProtection="1">
      <alignment/>
      <protection/>
    </xf>
    <xf numFmtId="0" fontId="8" fillId="0" borderId="26" xfId="0" applyFont="1" applyFill="1" applyBorder="1" applyAlignment="1" applyProtection="1">
      <alignment horizontal="left" wrapText="1"/>
      <protection/>
    </xf>
    <xf numFmtId="0" fontId="0" fillId="0" borderId="20"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0" fillId="0" borderId="18" xfId="0" applyFont="1" applyFill="1" applyBorder="1" applyAlignment="1" applyProtection="1">
      <alignment horizontal="left"/>
      <protection/>
    </xf>
    <xf numFmtId="195" fontId="0" fillId="0" borderId="19" xfId="49" applyNumberFormat="1" applyFont="1" applyFill="1" applyBorder="1" applyAlignment="1" applyProtection="1">
      <alignment horizontal="center"/>
      <protection/>
    </xf>
    <xf numFmtId="195" fontId="0" fillId="0" borderId="28" xfId="49" applyNumberFormat="1" applyFont="1" applyFill="1" applyBorder="1" applyAlignment="1" applyProtection="1">
      <alignment horizontal="center"/>
      <protection/>
    </xf>
    <xf numFmtId="0" fontId="8" fillId="0" borderId="0" xfId="0" applyFont="1" applyFill="1" applyBorder="1" applyAlignment="1">
      <alignment horizontal="left"/>
    </xf>
    <xf numFmtId="0" fontId="8" fillId="0" borderId="16" xfId="0" applyFont="1" applyFill="1" applyBorder="1" applyAlignment="1">
      <alignment horizontal="left"/>
    </xf>
    <xf numFmtId="0" fontId="8" fillId="0" borderId="18" xfId="0" applyFont="1" applyFill="1" applyBorder="1" applyAlignment="1">
      <alignment horizontal="left"/>
    </xf>
    <xf numFmtId="0" fontId="8" fillId="0" borderId="10" xfId="0" applyFont="1" applyFill="1" applyBorder="1" applyAlignment="1">
      <alignment horizontal="left"/>
    </xf>
    <xf numFmtId="195" fontId="0" fillId="0" borderId="29" xfId="49" applyNumberFormat="1" applyFont="1" applyFill="1" applyBorder="1" applyAlignment="1" applyProtection="1">
      <alignment horizontal="center"/>
      <protection/>
    </xf>
    <xf numFmtId="195" fontId="0" fillId="0" borderId="10" xfId="49" applyNumberFormat="1" applyFont="1" applyFill="1" applyBorder="1" applyAlignment="1" applyProtection="1">
      <alignment horizontal="center" vertical="center"/>
      <protection/>
    </xf>
    <xf numFmtId="193" fontId="114" fillId="0" borderId="45" xfId="51" applyFont="1" applyBorder="1" applyAlignment="1">
      <alignment horizontal="center" vertical="top" wrapText="1"/>
    </xf>
    <xf numFmtId="193" fontId="114" fillId="0" borderId="46" xfId="51" applyFont="1" applyBorder="1" applyAlignment="1">
      <alignment horizontal="center" vertical="top" wrapText="1"/>
    </xf>
    <xf numFmtId="193" fontId="114" fillId="0" borderId="47" xfId="51" applyFont="1" applyBorder="1" applyAlignment="1">
      <alignment horizontal="center" vertical="top" wrapText="1"/>
    </xf>
    <xf numFmtId="193" fontId="114" fillId="0" borderId="16" xfId="51" applyFont="1" applyBorder="1" applyAlignment="1">
      <alignment horizontal="center" vertical="top" wrapText="1"/>
    </xf>
    <xf numFmtId="193" fontId="114" fillId="0" borderId="18" xfId="51" applyFont="1" applyBorder="1" applyAlignment="1">
      <alignment horizontal="center" vertical="top" wrapText="1"/>
    </xf>
    <xf numFmtId="195" fontId="116" fillId="35" borderId="0" xfId="49" applyNumberFormat="1" applyFont="1" applyFill="1" applyAlignment="1">
      <alignment/>
    </xf>
    <xf numFmtId="195" fontId="0" fillId="0" borderId="0" xfId="55" applyNumberFormat="1" applyFont="1">
      <alignment/>
      <protection/>
    </xf>
    <xf numFmtId="195" fontId="120" fillId="0" borderId="0" xfId="49" applyNumberFormat="1" applyFont="1" applyAlignment="1" applyProtection="1">
      <alignmen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2">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Retencion fija'!A7" /><Relationship Id="rId3" Type="http://schemas.openxmlformats.org/officeDocument/2006/relationships/hyperlink" Target="#'Depuraci&#243;n mensual'!A7" /><Relationship Id="rId4" Type="http://schemas.openxmlformats.org/officeDocument/2006/relationships/hyperlink" Target="https://www.consultorcontable.com/herramientas/" TargetMode="Externa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 Id="rId3" Type="http://schemas.openxmlformats.org/officeDocument/2006/relationships/hyperlink" Target="#Men&#250;!A1" /><Relationship Id="rId4" Type="http://schemas.openxmlformats.org/officeDocument/2006/relationships/hyperlink" Target="#Men&#250;!A1" /><Relationship Id="rId5" Type="http://schemas.openxmlformats.org/officeDocument/2006/relationships/hyperlink" Target="#'PRINT 1'!A1" /><Relationship Id="rId6" Type="http://schemas.openxmlformats.org/officeDocument/2006/relationships/image" Target="../media/image8.png" /><Relationship Id="rId7" Type="http://schemas.openxmlformats.org/officeDocument/2006/relationships/hyperlink" Target="#'Depuraci&#243;n mensual'!A7" /><Relationship Id="rId8" Type="http://schemas.openxmlformats.org/officeDocument/2006/relationships/image" Target="../media/image7.png" /><Relationship Id="rId9" Type="http://schemas.openxmlformats.org/officeDocument/2006/relationships/hyperlink" Target="https://www.consultorcontable.com/aporte-voluntario/" TargetMode="External" /><Relationship Id="rId10" Type="http://schemas.openxmlformats.org/officeDocument/2006/relationships/image" Target="../media/image6.png" /><Relationship Id="rId11" Type="http://schemas.openxmlformats.org/officeDocument/2006/relationships/hyperlink" Target="https://www.consultorcontable.com/herramientas/" TargetMode="External" /><Relationship Id="rId1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 Id="rId4" Type="http://schemas.openxmlformats.org/officeDocument/2006/relationships/image" Target="../media/image1.png" /><Relationship Id="rId5" Type="http://schemas.openxmlformats.org/officeDocument/2006/relationships/image" Target="../media/image8.png" /><Relationship Id="rId6" Type="http://schemas.openxmlformats.org/officeDocument/2006/relationships/hyperlink" Target="#PRINT2!A1" /><Relationship Id="rId7" Type="http://schemas.openxmlformats.org/officeDocument/2006/relationships/hyperlink" Target="#'% Retencion fija'!A7"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Men&#250;!A1" /><Relationship Id="rId3" Type="http://schemas.openxmlformats.org/officeDocument/2006/relationships/hyperlink" Target="#Men&#25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771525</xdr:colOff>
      <xdr:row>4</xdr:row>
      <xdr:rowOff>19050</xdr:rowOff>
    </xdr:to>
    <xdr:pic>
      <xdr:nvPicPr>
        <xdr:cNvPr id="1" name="Imagen 1"/>
        <xdr:cNvPicPr preferRelativeResize="1">
          <a:picLocks noChangeAspect="1"/>
        </xdr:cNvPicPr>
      </xdr:nvPicPr>
      <xdr:blipFill>
        <a:blip r:embed="rId1"/>
        <a:stretch>
          <a:fillRect/>
        </a:stretch>
      </xdr:blipFill>
      <xdr:spPr>
        <a:xfrm>
          <a:off x="9525" y="114300"/>
          <a:ext cx="1543050" cy="561975"/>
        </a:xfrm>
        <a:prstGeom prst="rect">
          <a:avLst/>
        </a:prstGeom>
        <a:noFill/>
        <a:ln w="9525" cmpd="sng">
          <a:noFill/>
        </a:ln>
      </xdr:spPr>
    </xdr:pic>
    <xdr:clientData/>
  </xdr:twoCellAnchor>
  <xdr:twoCellAnchor>
    <xdr:from>
      <xdr:col>4</xdr:col>
      <xdr:colOff>9525</xdr:colOff>
      <xdr:row>12</xdr:row>
      <xdr:rowOff>28575</xdr:rowOff>
    </xdr:from>
    <xdr:to>
      <xdr:col>7</xdr:col>
      <xdr:colOff>0</xdr:colOff>
      <xdr:row>17</xdr:row>
      <xdr:rowOff>123825</xdr:rowOff>
    </xdr:to>
    <xdr:sp>
      <xdr:nvSpPr>
        <xdr:cNvPr id="2" name="CuadroTexto 2">
          <a:hlinkClick r:id="rId2"/>
        </xdr:cNvPr>
        <xdr:cNvSpPr txBox="1">
          <a:spLocks noChangeArrowheads="1"/>
        </xdr:cNvSpPr>
      </xdr:nvSpPr>
      <xdr:spPr>
        <a:xfrm>
          <a:off x="2343150" y="1914525"/>
          <a:ext cx="2162175" cy="771525"/>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Arial"/>
              <a:ea typeface="Arial"/>
              <a:cs typeface="Arial"/>
            </a:rPr>
            <a:t>1.</a:t>
          </a:r>
          <a:r>
            <a:rPr lang="en-US" cap="none" sz="2400" b="1" i="0" u="none" baseline="0">
              <a:solidFill>
                <a:srgbClr val="FFFFFF"/>
              </a:solidFill>
              <a:latin typeface="Arial"/>
              <a:ea typeface="Arial"/>
              <a:cs typeface="Arial"/>
            </a:rPr>
            <a:t> </a:t>
          </a:r>
          <a:r>
            <a:rPr lang="en-US" cap="none" sz="1800" b="0" i="0" u="none" baseline="0">
              <a:solidFill>
                <a:srgbClr val="FFFFFF"/>
              </a:solidFill>
              <a:latin typeface="Arial"/>
              <a:ea typeface="Arial"/>
              <a:cs typeface="Arial"/>
            </a:rPr>
            <a:t>Cálculo del porcentaje % Fijo</a:t>
          </a:r>
        </a:p>
      </xdr:txBody>
    </xdr:sp>
    <xdr:clientData/>
  </xdr:twoCellAnchor>
  <xdr:twoCellAnchor>
    <xdr:from>
      <xdr:col>9</xdr:col>
      <xdr:colOff>685800</xdr:colOff>
      <xdr:row>12</xdr:row>
      <xdr:rowOff>47625</xdr:rowOff>
    </xdr:from>
    <xdr:to>
      <xdr:col>12</xdr:col>
      <xdr:colOff>676275</xdr:colOff>
      <xdr:row>17</xdr:row>
      <xdr:rowOff>123825</xdr:rowOff>
    </xdr:to>
    <xdr:sp>
      <xdr:nvSpPr>
        <xdr:cNvPr id="3" name="CuadroTexto 3">
          <a:hlinkClick r:id="rId3"/>
        </xdr:cNvPr>
        <xdr:cNvSpPr txBox="1">
          <a:spLocks noChangeArrowheads="1"/>
        </xdr:cNvSpPr>
      </xdr:nvSpPr>
      <xdr:spPr>
        <a:xfrm>
          <a:off x="6638925" y="1933575"/>
          <a:ext cx="2162175" cy="752475"/>
        </a:xfrm>
        <a:prstGeom prst="rect">
          <a:avLst/>
        </a:prstGeom>
        <a:solidFill>
          <a:srgbClr val="404040"/>
        </a:solidFill>
        <a:ln w="9525" cmpd="sng">
          <a:solidFill>
            <a:srgbClr val="BCBCBC"/>
          </a:solidFill>
          <a:headEnd type="none"/>
          <a:tailEnd type="none"/>
        </a:ln>
      </xdr:spPr>
      <xdr:txBody>
        <a:bodyPr vertOverflow="clip" wrap="square" anchor="ctr"/>
        <a:p>
          <a:pPr algn="ctr">
            <a:defRPr/>
          </a:pPr>
          <a:r>
            <a:rPr lang="en-US" cap="none" sz="2400" b="1" i="0" u="none" baseline="0">
              <a:solidFill>
                <a:srgbClr val="FFFFFF"/>
              </a:solidFill>
              <a:latin typeface="Arial"/>
              <a:ea typeface="Arial"/>
              <a:cs typeface="Arial"/>
            </a:rPr>
            <a:t>2.</a:t>
          </a:r>
          <a:r>
            <a:rPr lang="en-US" cap="none" sz="2400" b="1" i="0" u="none" baseline="0">
              <a:solidFill>
                <a:srgbClr val="FFFFFF"/>
              </a:solidFill>
              <a:latin typeface="Arial"/>
              <a:ea typeface="Arial"/>
              <a:cs typeface="Arial"/>
            </a:rPr>
            <a:t> </a:t>
          </a:r>
          <a:r>
            <a:rPr lang="en-US" cap="none" sz="1800" b="0" i="0" u="none" baseline="0">
              <a:solidFill>
                <a:srgbClr val="FFFFFF"/>
              </a:solidFill>
              <a:latin typeface="Arial"/>
              <a:ea typeface="Arial"/>
              <a:cs typeface="Arial"/>
            </a:rPr>
            <a:t>Cálculo</a:t>
          </a:r>
          <a:r>
            <a:rPr lang="en-US" cap="none" sz="1800" b="0" i="0" u="none" baseline="0">
              <a:solidFill>
                <a:srgbClr val="FFFFFF"/>
              </a:solidFill>
              <a:latin typeface="Arial"/>
              <a:ea typeface="Arial"/>
              <a:cs typeface="Arial"/>
            </a:rPr>
            <a:t> retención </a:t>
          </a:r>
          <a:r>
            <a:rPr lang="en-US" cap="none" sz="1800" b="0" i="0" u="none" baseline="0">
              <a:solidFill>
                <a:srgbClr val="FFFFFF"/>
              </a:solidFill>
              <a:latin typeface="Arial"/>
              <a:ea typeface="Arial"/>
              <a:cs typeface="Arial"/>
            </a:rPr>
            <a:t>mensual</a:t>
          </a:r>
        </a:p>
      </xdr:txBody>
    </xdr:sp>
    <xdr:clientData/>
  </xdr:twoCellAnchor>
  <xdr:twoCellAnchor>
    <xdr:from>
      <xdr:col>12</xdr:col>
      <xdr:colOff>542925</xdr:colOff>
      <xdr:row>1</xdr:row>
      <xdr:rowOff>28575</xdr:rowOff>
    </xdr:from>
    <xdr:to>
      <xdr:col>14</xdr:col>
      <xdr:colOff>695325</xdr:colOff>
      <xdr:row>3</xdr:row>
      <xdr:rowOff>114300</xdr:rowOff>
    </xdr:to>
    <xdr:grpSp>
      <xdr:nvGrpSpPr>
        <xdr:cNvPr id="4" name="Grupo 5">
          <a:hlinkClick r:id="rId4"/>
        </xdr:cNvPr>
        <xdr:cNvGrpSpPr>
          <a:grpSpLocks/>
        </xdr:cNvGrpSpPr>
      </xdr:nvGrpSpPr>
      <xdr:grpSpPr>
        <a:xfrm>
          <a:off x="8667750" y="66675"/>
          <a:ext cx="1600200" cy="542925"/>
          <a:chOff x="3048000" y="2209800"/>
          <a:chExt cx="1683058" cy="568480"/>
        </a:xfrm>
        <a:solidFill>
          <a:srgbClr val="FFFFFF"/>
        </a:solidFill>
      </xdr:grpSpPr>
      <xdr:sp>
        <xdr:nvSpPr>
          <xdr:cNvPr id="5" name="Rectángulo: esquinas redondeadas 6"/>
          <xdr:cNvSpPr>
            <a:spLocks/>
          </xdr:cNvSpPr>
        </xdr:nvSpPr>
        <xdr:spPr>
          <a:xfrm>
            <a:off x="3048000" y="2209800"/>
            <a:ext cx="1657812" cy="568480"/>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 name="Imagen 7"/>
          <xdr:cNvPicPr preferRelativeResize="1">
            <a:picLocks noChangeAspect="1"/>
          </xdr:cNvPicPr>
        </xdr:nvPicPr>
        <xdr:blipFill>
          <a:blip r:embed="rId5"/>
          <a:stretch>
            <a:fillRect/>
          </a:stretch>
        </xdr:blipFill>
        <xdr:spPr>
          <a:xfrm>
            <a:off x="3091339" y="2243198"/>
            <a:ext cx="484721" cy="525844"/>
          </a:xfrm>
          <a:prstGeom prst="rect">
            <a:avLst/>
          </a:prstGeom>
          <a:noFill/>
          <a:ln w="9525" cmpd="sng">
            <a:noFill/>
          </a:ln>
        </xdr:spPr>
      </xdr:pic>
      <xdr:sp>
        <xdr:nvSpPr>
          <xdr:cNvPr id="7" name="CuadroTexto 8"/>
          <xdr:cNvSpPr txBox="1">
            <a:spLocks noChangeArrowheads="1"/>
          </xdr:cNvSpPr>
        </xdr:nvSpPr>
        <xdr:spPr>
          <a:xfrm>
            <a:off x="3585737" y="2230123"/>
            <a:ext cx="1145321" cy="324886"/>
          </a:xfrm>
          <a:prstGeom prst="rect">
            <a:avLst/>
          </a:prstGeom>
          <a:noFill/>
          <a:ln w="9525" cmpd="sng">
            <a:noFill/>
          </a:ln>
        </xdr:spPr>
        <xdr:txBody>
          <a:bodyPr vertOverflow="clip" wrap="square"/>
          <a:p>
            <a:pPr algn="l">
              <a:defRPr/>
            </a:pPr>
            <a:r>
              <a:rPr lang="en-US" cap="none" sz="1100" b="0" i="0" u="none" baseline="0">
                <a:solidFill>
                  <a:srgbClr val="000000"/>
                </a:solidFill>
              </a:rPr>
              <a:t>Descargue otras</a:t>
            </a:r>
          </a:p>
        </xdr:txBody>
      </xdr:sp>
      <xdr:sp>
        <xdr:nvSpPr>
          <xdr:cNvPr id="8" name="CuadroTexto 9"/>
          <xdr:cNvSpPr txBox="1">
            <a:spLocks noChangeArrowheads="1"/>
          </xdr:cNvSpPr>
        </xdr:nvSpPr>
        <xdr:spPr>
          <a:xfrm>
            <a:off x="3598360" y="2426391"/>
            <a:ext cx="974491" cy="324886"/>
          </a:xfrm>
          <a:prstGeom prst="rect">
            <a:avLst/>
          </a:prstGeom>
          <a:noFill/>
          <a:ln w="9525" cmpd="sng">
            <a:noFill/>
          </a:ln>
        </xdr:spPr>
        <xdr:txBody>
          <a:bodyPr vertOverflow="clip" wrap="square"/>
          <a:p>
            <a:pPr algn="l">
              <a:defRPr/>
            </a:pPr>
            <a:r>
              <a:rPr lang="en-US" cap="none" sz="1100" b="0" i="0" u="none" baseline="0">
                <a:solidFill>
                  <a:srgbClr val="000000"/>
                </a:solidFill>
              </a:rPr>
              <a:t>Herramientas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xdr:row>
      <xdr:rowOff>152400</xdr:rowOff>
    </xdr:from>
    <xdr:to>
      <xdr:col>10</xdr:col>
      <xdr:colOff>1504950</xdr:colOff>
      <xdr:row>8</xdr:row>
      <xdr:rowOff>19050</xdr:rowOff>
    </xdr:to>
    <xdr:sp>
      <xdr:nvSpPr>
        <xdr:cNvPr id="1" name="5 CuadroTexto"/>
        <xdr:cNvSpPr txBox="1">
          <a:spLocks noChangeArrowheads="1"/>
        </xdr:cNvSpPr>
      </xdr:nvSpPr>
      <xdr:spPr>
        <a:xfrm>
          <a:off x="6819900" y="952500"/>
          <a:ext cx="3476625" cy="3048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Artículo</a:t>
          </a:r>
          <a:r>
            <a:rPr lang="en-US" cap="none" sz="1400" b="0" i="0" u="none" baseline="0">
              <a:solidFill>
                <a:srgbClr val="000000"/>
              </a:solidFill>
              <a:latin typeface="Arial"/>
              <a:ea typeface="Arial"/>
              <a:cs typeface="Arial"/>
            </a:rPr>
            <a:t> 386 y siguientes del ET</a:t>
          </a:r>
        </a:p>
      </xdr:txBody>
    </xdr:sp>
    <xdr:clientData/>
  </xdr:twoCellAnchor>
  <xdr:twoCellAnchor editAs="oneCell">
    <xdr:from>
      <xdr:col>3</xdr:col>
      <xdr:colOff>238125</xdr:colOff>
      <xdr:row>1</xdr:row>
      <xdr:rowOff>95250</xdr:rowOff>
    </xdr:from>
    <xdr:to>
      <xdr:col>3</xdr:col>
      <xdr:colOff>1771650</xdr:colOff>
      <xdr:row>4</xdr:row>
      <xdr:rowOff>247650</xdr:rowOff>
    </xdr:to>
    <xdr:pic>
      <xdr:nvPicPr>
        <xdr:cNvPr id="2" name="Imagen 7"/>
        <xdr:cNvPicPr preferRelativeResize="1">
          <a:picLocks noChangeAspect="1"/>
        </xdr:cNvPicPr>
      </xdr:nvPicPr>
      <xdr:blipFill>
        <a:blip r:embed="rId1"/>
        <a:stretch>
          <a:fillRect/>
        </a:stretch>
      </xdr:blipFill>
      <xdr:spPr>
        <a:xfrm>
          <a:off x="695325" y="161925"/>
          <a:ext cx="1533525" cy="552450"/>
        </a:xfrm>
        <a:prstGeom prst="rect">
          <a:avLst/>
        </a:prstGeom>
        <a:noFill/>
        <a:ln w="9525" cmpd="sng">
          <a:noFill/>
        </a:ln>
      </xdr:spPr>
    </xdr:pic>
    <xdr:clientData/>
  </xdr:twoCellAnchor>
  <xdr:twoCellAnchor editAs="absolute">
    <xdr:from>
      <xdr:col>1</xdr:col>
      <xdr:colOff>57150</xdr:colOff>
      <xdr:row>2</xdr:row>
      <xdr:rowOff>123825</xdr:rowOff>
    </xdr:from>
    <xdr:to>
      <xdr:col>3</xdr:col>
      <xdr:colOff>85725</xdr:colOff>
      <xdr:row>4</xdr:row>
      <xdr:rowOff>133350</xdr:rowOff>
    </xdr:to>
    <xdr:pic>
      <xdr:nvPicPr>
        <xdr:cNvPr id="3" name="Imagen 9" descr="Imagen relacionada">
          <a:hlinkClick r:id="rId4"/>
        </xdr:cNvPr>
        <xdr:cNvPicPr preferRelativeResize="1">
          <a:picLocks noChangeAspect="1"/>
        </xdr:cNvPicPr>
      </xdr:nvPicPr>
      <xdr:blipFill>
        <a:blip r:embed="rId2"/>
        <a:stretch>
          <a:fillRect/>
        </a:stretch>
      </xdr:blipFill>
      <xdr:spPr>
        <a:xfrm>
          <a:off x="152400" y="295275"/>
          <a:ext cx="390525" cy="304800"/>
        </a:xfrm>
        <a:prstGeom prst="rect">
          <a:avLst/>
        </a:prstGeom>
        <a:noFill/>
        <a:ln w="9525" cmpd="sng">
          <a:noFill/>
        </a:ln>
      </xdr:spPr>
    </xdr:pic>
    <xdr:clientData fPrintsWithSheet="0"/>
  </xdr:twoCellAnchor>
  <xdr:twoCellAnchor editAs="absolute">
    <xdr:from>
      <xdr:col>4</xdr:col>
      <xdr:colOff>2609850</xdr:colOff>
      <xdr:row>1</xdr:row>
      <xdr:rowOff>28575</xdr:rowOff>
    </xdr:from>
    <xdr:to>
      <xdr:col>5</xdr:col>
      <xdr:colOff>923925</xdr:colOff>
      <xdr:row>6</xdr:row>
      <xdr:rowOff>57150</xdr:rowOff>
    </xdr:to>
    <xdr:grpSp>
      <xdr:nvGrpSpPr>
        <xdr:cNvPr id="4" name="Grupo 1">
          <a:hlinkClick r:id="rId5"/>
        </xdr:cNvPr>
        <xdr:cNvGrpSpPr>
          <a:grpSpLocks/>
        </xdr:cNvGrpSpPr>
      </xdr:nvGrpSpPr>
      <xdr:grpSpPr>
        <a:xfrm>
          <a:off x="5124450" y="95250"/>
          <a:ext cx="942975" cy="762000"/>
          <a:chOff x="6819844" y="125697"/>
          <a:chExt cx="1026937" cy="782470"/>
        </a:xfrm>
        <a:solidFill>
          <a:srgbClr val="FFFFFF"/>
        </a:solidFill>
      </xdr:grpSpPr>
      <xdr:pic>
        <xdr:nvPicPr>
          <xdr:cNvPr id="5" name="Imagen 11"/>
          <xdr:cNvPicPr preferRelativeResize="1">
            <a:picLocks noChangeAspect="1"/>
          </xdr:cNvPicPr>
        </xdr:nvPicPr>
        <xdr:blipFill>
          <a:blip r:embed="rId6"/>
          <a:stretch>
            <a:fillRect/>
          </a:stretch>
        </xdr:blipFill>
        <xdr:spPr>
          <a:xfrm flipV="1">
            <a:off x="7025231" y="125697"/>
            <a:ext cx="610514" cy="571203"/>
          </a:xfrm>
          <a:prstGeom prst="rect">
            <a:avLst/>
          </a:prstGeom>
          <a:noFill/>
          <a:ln w="9525" cmpd="sng">
            <a:noFill/>
          </a:ln>
        </xdr:spPr>
      </xdr:pic>
      <xdr:sp>
        <xdr:nvSpPr>
          <xdr:cNvPr id="6" name="CuadroTexto 12"/>
          <xdr:cNvSpPr txBox="1">
            <a:spLocks noChangeArrowheads="1"/>
          </xdr:cNvSpPr>
        </xdr:nvSpPr>
        <xdr:spPr>
          <a:xfrm rot="10800000" flipV="1">
            <a:off x="6819844" y="369045"/>
            <a:ext cx="1026937" cy="539122"/>
          </a:xfrm>
          <a:prstGeom prst="rect">
            <a:avLst/>
          </a:prstGeom>
          <a:noFill/>
          <a:ln w="9525" cmpd="sng">
            <a:noFill/>
          </a:ln>
        </xdr:spPr>
        <xdr:txBody>
          <a:bodyPr vertOverflow="clip" wrap="square" anchor="ctr"/>
          <a:p>
            <a:pPr algn="ctr">
              <a:defRPr/>
            </a:pPr>
            <a:r>
              <a:rPr lang="en-US" cap="none" sz="1100" b="0" i="0" u="none" baseline="0">
                <a:solidFill>
                  <a:srgbClr val="000000"/>
                </a:solidFill>
              </a:rPr>
              <a:t>Vista
 Impresión</a:t>
            </a:r>
          </a:p>
        </xdr:txBody>
      </xdr:sp>
    </xdr:grpSp>
    <xdr:clientData/>
  </xdr:twoCellAnchor>
  <xdr:oneCellAnchor>
    <xdr:from>
      <xdr:col>5</xdr:col>
      <xdr:colOff>904875</xdr:colOff>
      <xdr:row>0</xdr:row>
      <xdr:rowOff>57150</xdr:rowOff>
    </xdr:from>
    <xdr:ext cx="838200" cy="923925"/>
    <xdr:grpSp>
      <xdr:nvGrpSpPr>
        <xdr:cNvPr id="7" name="Grupo 5">
          <a:hlinkClick r:id="rId7"/>
        </xdr:cNvPr>
        <xdr:cNvGrpSpPr>
          <a:grpSpLocks/>
        </xdr:cNvGrpSpPr>
      </xdr:nvGrpSpPr>
      <xdr:grpSpPr>
        <a:xfrm>
          <a:off x="6048375" y="57150"/>
          <a:ext cx="838200" cy="923925"/>
          <a:chOff x="7428023" y="36918"/>
          <a:chExt cx="874380" cy="903086"/>
        </a:xfrm>
        <a:solidFill>
          <a:srgbClr val="FFFFFF"/>
        </a:solidFill>
      </xdr:grpSpPr>
      <xdr:pic>
        <xdr:nvPicPr>
          <xdr:cNvPr id="8" name="Imagen 4"/>
          <xdr:cNvPicPr preferRelativeResize="1">
            <a:picLocks noChangeAspect="1"/>
          </xdr:cNvPicPr>
        </xdr:nvPicPr>
        <xdr:blipFill>
          <a:blip r:embed="rId8"/>
          <a:stretch>
            <a:fillRect/>
          </a:stretch>
        </xdr:blipFill>
        <xdr:spPr>
          <a:xfrm>
            <a:off x="7479611" y="36918"/>
            <a:ext cx="659064" cy="659027"/>
          </a:xfrm>
          <a:prstGeom prst="rect">
            <a:avLst/>
          </a:prstGeom>
          <a:noFill/>
          <a:ln w="9525" cmpd="sng">
            <a:noFill/>
          </a:ln>
        </xdr:spPr>
      </xdr:pic>
      <xdr:sp>
        <xdr:nvSpPr>
          <xdr:cNvPr id="9" name="CuadroTexto 11"/>
          <xdr:cNvSpPr txBox="1">
            <a:spLocks noChangeArrowheads="1"/>
          </xdr:cNvSpPr>
        </xdr:nvSpPr>
        <xdr:spPr>
          <a:xfrm rot="10800000" flipV="1">
            <a:off x="7428023" y="422084"/>
            <a:ext cx="874380" cy="517920"/>
          </a:xfrm>
          <a:prstGeom prst="rect">
            <a:avLst/>
          </a:prstGeom>
          <a:noFill/>
          <a:ln w="9525" cmpd="sng">
            <a:noFill/>
          </a:ln>
        </xdr:spPr>
        <xdr:txBody>
          <a:bodyPr vertOverflow="clip" wrap="square" anchor="ctr"/>
          <a:p>
            <a:pPr algn="ctr">
              <a:defRPr/>
            </a:pPr>
            <a:r>
              <a:rPr lang="en-US" cap="none" sz="1100" b="0" i="0" u="none" baseline="0">
                <a:solidFill>
                  <a:srgbClr val="000000"/>
                </a:solidFill>
              </a:rPr>
              <a:t>Cálculo mes</a:t>
            </a:r>
          </a:p>
        </xdr:txBody>
      </xdr:sp>
    </xdr:grpSp>
    <xdr:clientData/>
  </xdr:oneCellAnchor>
  <xdr:oneCellAnchor>
    <xdr:from>
      <xdr:col>11</xdr:col>
      <xdr:colOff>104775</xdr:colOff>
      <xdr:row>1</xdr:row>
      <xdr:rowOff>66675</xdr:rowOff>
    </xdr:from>
    <xdr:ext cx="1581150" cy="600075"/>
    <xdr:grpSp>
      <xdr:nvGrpSpPr>
        <xdr:cNvPr id="10" name="Grupo 1">
          <a:hlinkClick r:id="rId9"/>
        </xdr:cNvPr>
        <xdr:cNvGrpSpPr>
          <a:grpSpLocks/>
        </xdr:cNvGrpSpPr>
      </xdr:nvGrpSpPr>
      <xdr:grpSpPr>
        <a:xfrm>
          <a:off x="10410825" y="133350"/>
          <a:ext cx="1581150" cy="600075"/>
          <a:chOff x="6981288" y="3287542"/>
          <a:chExt cx="1654001" cy="575764"/>
        </a:xfrm>
        <a:solidFill>
          <a:srgbClr val="FFFFFF"/>
        </a:solidFill>
      </xdr:grpSpPr>
      <xdr:sp>
        <xdr:nvSpPr>
          <xdr:cNvPr id="11" name="Rectángulo: esquinas redondeadas 2"/>
          <xdr:cNvSpPr>
            <a:spLocks/>
          </xdr:cNvSpPr>
        </xdr:nvSpPr>
        <xdr:spPr>
          <a:xfrm>
            <a:off x="6981288" y="3287542"/>
            <a:ext cx="1654001" cy="575764"/>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CuadroTexto 3"/>
          <xdr:cNvSpPr txBox="1">
            <a:spLocks noChangeArrowheads="1"/>
          </xdr:cNvSpPr>
        </xdr:nvSpPr>
        <xdr:spPr>
          <a:xfrm>
            <a:off x="7463016" y="3306110"/>
            <a:ext cx="1159868" cy="538627"/>
          </a:xfrm>
          <a:prstGeom prst="rect">
            <a:avLst/>
          </a:prstGeom>
          <a:noFill/>
          <a:ln w="9525" cmpd="sng">
            <a:noFill/>
          </a:ln>
        </xdr:spPr>
        <xdr:txBody>
          <a:bodyPr vertOverflow="clip" wrap="square" anchor="ctr"/>
          <a:p>
            <a:pPr algn="ctr">
              <a:defRPr/>
            </a:pPr>
            <a:r>
              <a:rPr lang="en-US" cap="none" sz="1050" b="0" i="0" u="none" baseline="0">
                <a:solidFill>
                  <a:srgbClr val="000000"/>
                </a:solidFill>
                <a:latin typeface="Calibri"/>
                <a:ea typeface="Calibri"/>
                <a:cs typeface="Calibri"/>
              </a:rPr>
              <a:t>Realice</a:t>
            </a:r>
            <a:r>
              <a:rPr lang="en-US" cap="none" sz="1050" b="0" i="0" u="none" baseline="0">
                <a:solidFill>
                  <a:srgbClr val="000000"/>
                </a:solidFill>
                <a:latin typeface="Calibri"/>
                <a:ea typeface="Calibri"/>
                <a:cs typeface="Calibri"/>
              </a:rPr>
              <a:t> un aporte </a:t>
            </a:r>
            <a:r>
              <a:rPr lang="en-US" cap="none" sz="1050" b="1" i="0" u="none" baseline="0">
                <a:solidFill>
                  <a:srgbClr val="FFCC00"/>
                </a:solidFill>
                <a:latin typeface="Calibri"/>
                <a:ea typeface="Calibri"/>
                <a:cs typeface="Calibri"/>
              </a:rPr>
              <a:t>voluntario</a:t>
            </a:r>
          </a:p>
        </xdr:txBody>
      </xdr:sp>
      <xdr:pic>
        <xdr:nvPicPr>
          <xdr:cNvPr id="13" name="Imagen 4"/>
          <xdr:cNvPicPr preferRelativeResize="1">
            <a:picLocks noChangeAspect="1"/>
          </xdr:cNvPicPr>
        </xdr:nvPicPr>
        <xdr:blipFill>
          <a:blip r:embed="rId10"/>
          <a:stretch>
            <a:fillRect/>
          </a:stretch>
        </xdr:blipFill>
        <xdr:spPr>
          <a:xfrm>
            <a:off x="7000723" y="3321080"/>
            <a:ext cx="527213" cy="514733"/>
          </a:xfrm>
          <a:prstGeom prst="rect">
            <a:avLst/>
          </a:prstGeom>
          <a:noFill/>
          <a:ln w="9525" cmpd="sng">
            <a:noFill/>
          </a:ln>
        </xdr:spPr>
      </xdr:pic>
    </xdr:grpSp>
    <xdr:clientData/>
  </xdr:oneCellAnchor>
  <xdr:twoCellAnchor>
    <xdr:from>
      <xdr:col>9</xdr:col>
      <xdr:colOff>590550</xdr:colOff>
      <xdr:row>1</xdr:row>
      <xdr:rowOff>47625</xdr:rowOff>
    </xdr:from>
    <xdr:to>
      <xdr:col>10</xdr:col>
      <xdr:colOff>180975</xdr:colOff>
      <xdr:row>4</xdr:row>
      <xdr:rowOff>228600</xdr:rowOff>
    </xdr:to>
    <xdr:grpSp>
      <xdr:nvGrpSpPr>
        <xdr:cNvPr id="14" name="Grupo 5">
          <a:hlinkClick r:id="rId11"/>
        </xdr:cNvPr>
        <xdr:cNvGrpSpPr>
          <a:grpSpLocks/>
        </xdr:cNvGrpSpPr>
      </xdr:nvGrpSpPr>
      <xdr:grpSpPr>
        <a:xfrm>
          <a:off x="7353300" y="114300"/>
          <a:ext cx="1619250" cy="581025"/>
          <a:chOff x="3048000" y="2209800"/>
          <a:chExt cx="1683058" cy="568480"/>
        </a:xfrm>
        <a:solidFill>
          <a:srgbClr val="FFFFFF"/>
        </a:solidFill>
      </xdr:grpSpPr>
      <xdr:sp>
        <xdr:nvSpPr>
          <xdr:cNvPr id="15" name="Rectángulo: esquinas redondeadas 7"/>
          <xdr:cNvSpPr>
            <a:spLocks/>
          </xdr:cNvSpPr>
        </xdr:nvSpPr>
        <xdr:spPr>
          <a:xfrm>
            <a:off x="3048000" y="2209800"/>
            <a:ext cx="1657812" cy="568480"/>
          </a:xfrm>
          <a:prstGeom prst="roundRect">
            <a:avLst/>
          </a:prstGeom>
          <a:solidFill>
            <a:srgbClr val="FFFFFF"/>
          </a:solidFill>
          <a:ln w="3175" cmpd="sng">
            <a:solidFill>
              <a:srgbClr val="F79646"/>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6" name="Imagen 8"/>
          <xdr:cNvPicPr preferRelativeResize="1">
            <a:picLocks noChangeAspect="1"/>
          </xdr:cNvPicPr>
        </xdr:nvPicPr>
        <xdr:blipFill>
          <a:blip r:embed="rId12"/>
          <a:stretch>
            <a:fillRect/>
          </a:stretch>
        </xdr:blipFill>
        <xdr:spPr>
          <a:xfrm>
            <a:off x="3091339" y="2243198"/>
            <a:ext cx="484721" cy="525844"/>
          </a:xfrm>
          <a:prstGeom prst="rect">
            <a:avLst/>
          </a:prstGeom>
          <a:noFill/>
          <a:ln w="9525" cmpd="sng">
            <a:noFill/>
          </a:ln>
        </xdr:spPr>
      </xdr:pic>
      <xdr:sp>
        <xdr:nvSpPr>
          <xdr:cNvPr id="17" name="CuadroTexto 9"/>
          <xdr:cNvSpPr txBox="1">
            <a:spLocks noChangeArrowheads="1"/>
          </xdr:cNvSpPr>
        </xdr:nvSpPr>
        <xdr:spPr>
          <a:xfrm>
            <a:off x="3585737" y="2228702"/>
            <a:ext cx="1145321" cy="322186"/>
          </a:xfrm>
          <a:prstGeom prst="rect">
            <a:avLst/>
          </a:prstGeom>
          <a:noFill/>
          <a:ln w="9525" cmpd="sng">
            <a:noFill/>
          </a:ln>
        </xdr:spPr>
        <xdr:txBody>
          <a:bodyPr vertOverflow="clip" wrap="square"/>
          <a:p>
            <a:pPr algn="l">
              <a:defRPr/>
            </a:pPr>
            <a:r>
              <a:rPr lang="en-US" cap="none" sz="1100" b="0" i="0" u="none" baseline="0">
                <a:solidFill>
                  <a:srgbClr val="000000"/>
                </a:solidFill>
              </a:rPr>
              <a:t>Descargue otras</a:t>
            </a:r>
          </a:p>
        </xdr:txBody>
      </xdr:sp>
      <xdr:sp>
        <xdr:nvSpPr>
          <xdr:cNvPr id="18" name="CuadroTexto 10"/>
          <xdr:cNvSpPr txBox="1">
            <a:spLocks noChangeArrowheads="1"/>
          </xdr:cNvSpPr>
        </xdr:nvSpPr>
        <xdr:spPr>
          <a:xfrm>
            <a:off x="3598360" y="2430939"/>
            <a:ext cx="968179" cy="315791"/>
          </a:xfrm>
          <a:prstGeom prst="rect">
            <a:avLst/>
          </a:prstGeom>
          <a:noFill/>
          <a:ln w="9525" cmpd="sng">
            <a:noFill/>
          </a:ln>
        </xdr:spPr>
        <xdr:txBody>
          <a:bodyPr vertOverflow="clip" wrap="square"/>
          <a:p>
            <a:pPr algn="l">
              <a:defRPr/>
            </a:pPr>
            <a:r>
              <a:rPr lang="en-US" cap="none" sz="1100" b="0" i="0" u="none" baseline="0">
                <a:solidFill>
                  <a:srgbClr val="000000"/>
                </a:solidFill>
              </a:rPr>
              <a:t>Herramientas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xdr:row>
      <xdr:rowOff>66675</xdr:rowOff>
    </xdr:from>
    <xdr:to>
      <xdr:col>3</xdr:col>
      <xdr:colOff>57150</xdr:colOff>
      <xdr:row>4</xdr:row>
      <xdr:rowOff>66675</xdr:rowOff>
    </xdr:to>
    <xdr:pic>
      <xdr:nvPicPr>
        <xdr:cNvPr id="1" name="Imagen 6" descr="Imagen relacionada">
          <a:hlinkClick r:id="rId3"/>
        </xdr:cNvPr>
        <xdr:cNvPicPr preferRelativeResize="1">
          <a:picLocks noChangeAspect="1"/>
        </xdr:cNvPicPr>
      </xdr:nvPicPr>
      <xdr:blipFill>
        <a:blip r:embed="rId1"/>
        <a:stretch>
          <a:fillRect/>
        </a:stretch>
      </xdr:blipFill>
      <xdr:spPr>
        <a:xfrm>
          <a:off x="114300" y="238125"/>
          <a:ext cx="400050" cy="314325"/>
        </a:xfrm>
        <a:prstGeom prst="rect">
          <a:avLst/>
        </a:prstGeom>
        <a:noFill/>
        <a:ln w="9525" cmpd="sng">
          <a:noFill/>
        </a:ln>
      </xdr:spPr>
    </xdr:pic>
    <xdr:clientData fPrintsWithSheet="0"/>
  </xdr:twoCellAnchor>
  <xdr:twoCellAnchor>
    <xdr:from>
      <xdr:col>3</xdr:col>
      <xdr:colOff>1571625</xdr:colOff>
      <xdr:row>1</xdr:row>
      <xdr:rowOff>66675</xdr:rowOff>
    </xdr:from>
    <xdr:to>
      <xdr:col>3</xdr:col>
      <xdr:colOff>4581525</xdr:colOff>
      <xdr:row>4</xdr:row>
      <xdr:rowOff>209550</xdr:rowOff>
    </xdr:to>
    <xdr:sp>
      <xdr:nvSpPr>
        <xdr:cNvPr id="2" name="5 CuadroTexto"/>
        <xdr:cNvSpPr txBox="1">
          <a:spLocks noChangeArrowheads="1"/>
        </xdr:cNvSpPr>
      </xdr:nvSpPr>
      <xdr:spPr>
        <a:xfrm>
          <a:off x="2028825" y="133350"/>
          <a:ext cx="3019425" cy="5619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Arial"/>
              <a:ea typeface="Arial"/>
              <a:cs typeface="Arial"/>
            </a:rPr>
            <a:t>Artículo</a:t>
          </a:r>
          <a:r>
            <a:rPr lang="en-US" cap="none" sz="1600" b="0" i="0" u="none" baseline="0">
              <a:solidFill>
                <a:srgbClr val="000000"/>
              </a:solidFill>
              <a:latin typeface="Arial"/>
              <a:ea typeface="Arial"/>
              <a:cs typeface="Arial"/>
            </a:rPr>
            <a:t> 386 y siguientes del ET</a:t>
          </a:r>
        </a:p>
      </xdr:txBody>
    </xdr:sp>
    <xdr:clientData/>
  </xdr:twoCellAnchor>
  <xdr:twoCellAnchor editAs="oneCell">
    <xdr:from>
      <xdr:col>3</xdr:col>
      <xdr:colOff>85725</xdr:colOff>
      <xdr:row>1</xdr:row>
      <xdr:rowOff>66675</xdr:rowOff>
    </xdr:from>
    <xdr:to>
      <xdr:col>3</xdr:col>
      <xdr:colOff>1543050</xdr:colOff>
      <xdr:row>4</xdr:row>
      <xdr:rowOff>200025</xdr:rowOff>
    </xdr:to>
    <xdr:pic>
      <xdr:nvPicPr>
        <xdr:cNvPr id="3" name="Imagen 9"/>
        <xdr:cNvPicPr preferRelativeResize="1">
          <a:picLocks noChangeAspect="1"/>
        </xdr:cNvPicPr>
      </xdr:nvPicPr>
      <xdr:blipFill>
        <a:blip r:embed="rId4"/>
        <a:stretch>
          <a:fillRect/>
        </a:stretch>
      </xdr:blipFill>
      <xdr:spPr>
        <a:xfrm>
          <a:off x="542925" y="133350"/>
          <a:ext cx="1457325" cy="552450"/>
        </a:xfrm>
        <a:prstGeom prst="rect">
          <a:avLst/>
        </a:prstGeom>
        <a:noFill/>
        <a:ln w="9525" cmpd="sng">
          <a:noFill/>
        </a:ln>
      </xdr:spPr>
    </xdr:pic>
    <xdr:clientData/>
  </xdr:twoCellAnchor>
  <xdr:twoCellAnchor>
    <xdr:from>
      <xdr:col>5</xdr:col>
      <xdr:colOff>1314450</xdr:colOff>
      <xdr:row>1</xdr:row>
      <xdr:rowOff>47625</xdr:rowOff>
    </xdr:from>
    <xdr:to>
      <xdr:col>5</xdr:col>
      <xdr:colOff>2333625</xdr:colOff>
      <xdr:row>6</xdr:row>
      <xdr:rowOff>142875</xdr:rowOff>
    </xdr:to>
    <xdr:grpSp>
      <xdr:nvGrpSpPr>
        <xdr:cNvPr id="4" name="Grupo 1"/>
        <xdr:cNvGrpSpPr>
          <a:grpSpLocks/>
        </xdr:cNvGrpSpPr>
      </xdr:nvGrpSpPr>
      <xdr:grpSpPr>
        <a:xfrm>
          <a:off x="7962900" y="114300"/>
          <a:ext cx="1019175" cy="933450"/>
          <a:chOff x="7919629" y="124298"/>
          <a:chExt cx="1028018" cy="807491"/>
        </a:xfrm>
        <a:solidFill>
          <a:srgbClr val="FFFFFF"/>
        </a:solidFill>
      </xdr:grpSpPr>
      <xdr:pic>
        <xdr:nvPicPr>
          <xdr:cNvPr id="5" name="Imagen 12"/>
          <xdr:cNvPicPr preferRelativeResize="1">
            <a:picLocks noChangeAspect="1"/>
          </xdr:cNvPicPr>
        </xdr:nvPicPr>
        <xdr:blipFill>
          <a:blip r:embed="rId5"/>
          <a:stretch>
            <a:fillRect/>
          </a:stretch>
        </xdr:blipFill>
        <xdr:spPr>
          <a:xfrm flipV="1">
            <a:off x="8129345" y="124298"/>
            <a:ext cx="611157" cy="567868"/>
          </a:xfrm>
          <a:prstGeom prst="rect">
            <a:avLst/>
          </a:prstGeom>
          <a:noFill/>
          <a:ln w="9525" cmpd="sng">
            <a:noFill/>
          </a:ln>
        </xdr:spPr>
      </xdr:pic>
      <xdr:sp>
        <xdr:nvSpPr>
          <xdr:cNvPr id="6" name="CuadroTexto 13">
            <a:hlinkClick r:id="rId6"/>
          </xdr:cNvPr>
          <xdr:cNvSpPr txBox="1">
            <a:spLocks noChangeArrowheads="1"/>
          </xdr:cNvSpPr>
        </xdr:nvSpPr>
        <xdr:spPr>
          <a:xfrm rot="10800000" flipV="1">
            <a:off x="7919629" y="395211"/>
            <a:ext cx="1028018" cy="536578"/>
          </a:xfrm>
          <a:prstGeom prst="rect">
            <a:avLst/>
          </a:prstGeom>
          <a:noFill/>
          <a:ln w="9525" cmpd="sng">
            <a:noFill/>
          </a:ln>
        </xdr:spPr>
        <xdr:txBody>
          <a:bodyPr vertOverflow="clip" wrap="square" anchor="ctr"/>
          <a:p>
            <a:pPr algn="ctr">
              <a:defRPr/>
            </a:pPr>
            <a:r>
              <a:rPr lang="en-US" cap="none" sz="1100" b="0" i="0" u="none" baseline="0">
                <a:solidFill>
                  <a:srgbClr val="000000"/>
                </a:solidFill>
              </a:rPr>
              <a:t>Vista
 Impresión</a:t>
            </a:r>
          </a:p>
        </xdr:txBody>
      </xdr:sp>
    </xdr:grpSp>
    <xdr:clientData/>
  </xdr:twoCellAnchor>
  <xdr:twoCellAnchor>
    <xdr:from>
      <xdr:col>8</xdr:col>
      <xdr:colOff>57150</xdr:colOff>
      <xdr:row>0</xdr:row>
      <xdr:rowOff>38100</xdr:rowOff>
    </xdr:from>
    <xdr:to>
      <xdr:col>8</xdr:col>
      <xdr:colOff>866775</xdr:colOff>
      <xdr:row>6</xdr:row>
      <xdr:rowOff>85725</xdr:rowOff>
    </xdr:to>
    <xdr:grpSp>
      <xdr:nvGrpSpPr>
        <xdr:cNvPr id="7" name="Grupo 3">
          <a:hlinkClick r:id="rId7"/>
        </xdr:cNvPr>
        <xdr:cNvGrpSpPr>
          <a:grpSpLocks/>
        </xdr:cNvGrpSpPr>
      </xdr:nvGrpSpPr>
      <xdr:grpSpPr>
        <a:xfrm>
          <a:off x="9048750" y="38100"/>
          <a:ext cx="809625" cy="952500"/>
          <a:chOff x="9510058" y="29883"/>
          <a:chExt cx="848658" cy="963708"/>
        </a:xfrm>
        <a:solidFill>
          <a:srgbClr val="FFFFFF"/>
        </a:solidFill>
      </xdr:grpSpPr>
      <xdr:pic>
        <xdr:nvPicPr>
          <xdr:cNvPr id="8" name="Imagen 2"/>
          <xdr:cNvPicPr preferRelativeResize="1">
            <a:picLocks noChangeAspect="1"/>
          </xdr:cNvPicPr>
        </xdr:nvPicPr>
        <xdr:blipFill>
          <a:blip r:embed="rId8"/>
          <a:stretch>
            <a:fillRect/>
          </a:stretch>
        </xdr:blipFill>
        <xdr:spPr>
          <a:xfrm>
            <a:off x="9577314" y="29883"/>
            <a:ext cx="713509" cy="713385"/>
          </a:xfrm>
          <a:prstGeom prst="rect">
            <a:avLst/>
          </a:prstGeom>
          <a:noFill/>
          <a:ln w="9525" cmpd="sng">
            <a:noFill/>
          </a:ln>
        </xdr:spPr>
      </xdr:pic>
      <xdr:sp>
        <xdr:nvSpPr>
          <xdr:cNvPr id="9" name="CuadroTexto 9"/>
          <xdr:cNvSpPr txBox="1">
            <a:spLocks noChangeArrowheads="1"/>
          </xdr:cNvSpPr>
        </xdr:nvSpPr>
        <xdr:spPr>
          <a:xfrm rot="10800000" flipV="1">
            <a:off x="9510058" y="553658"/>
            <a:ext cx="848658" cy="439933"/>
          </a:xfrm>
          <a:prstGeom prst="rect">
            <a:avLst/>
          </a:prstGeom>
          <a:noFill/>
          <a:ln w="9525" cmpd="sng">
            <a:noFill/>
          </a:ln>
        </xdr:spPr>
        <xdr:txBody>
          <a:bodyPr vertOverflow="clip" wrap="square" anchor="ctr"/>
          <a:p>
            <a:pPr algn="ctr">
              <a:defRPr/>
            </a:pPr>
            <a:r>
              <a:rPr lang="en-US" cap="none" sz="1100" b="0" i="0" u="none" baseline="0">
                <a:solidFill>
                  <a:srgbClr val="000000"/>
                </a:solidFill>
              </a:rPr>
              <a:t>% Fijo</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xdr:row>
      <xdr:rowOff>104775</xdr:rowOff>
    </xdr:from>
    <xdr:to>
      <xdr:col>1</xdr:col>
      <xdr:colOff>428625</xdr:colOff>
      <xdr:row>3</xdr:row>
      <xdr:rowOff>47625</xdr:rowOff>
    </xdr:to>
    <xdr:pic>
      <xdr:nvPicPr>
        <xdr:cNvPr id="1" name="Imagen 1" descr="Imagen relacionada">
          <a:hlinkClick r:id="rId3"/>
        </xdr:cNvPr>
        <xdr:cNvPicPr preferRelativeResize="1">
          <a:picLocks noChangeAspect="1"/>
        </xdr:cNvPicPr>
      </xdr:nvPicPr>
      <xdr:blipFill>
        <a:blip r:embed="rId1"/>
        <a:stretch>
          <a:fillRect/>
        </a:stretch>
      </xdr:blipFill>
      <xdr:spPr>
        <a:xfrm>
          <a:off x="76200" y="171450"/>
          <a:ext cx="409575" cy="2952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0</xdr:row>
      <xdr:rowOff>114300</xdr:rowOff>
    </xdr:from>
    <xdr:to>
      <xdr:col>3</xdr:col>
      <xdr:colOff>9525</xdr:colOff>
      <xdr:row>2</xdr:row>
      <xdr:rowOff>76200</xdr:rowOff>
    </xdr:to>
    <xdr:pic>
      <xdr:nvPicPr>
        <xdr:cNvPr id="1" name="Imagen 2" descr="Imagen relacionada">
          <a:hlinkClick r:id="rId3"/>
        </xdr:cNvPr>
        <xdr:cNvPicPr preferRelativeResize="1">
          <a:picLocks noChangeAspect="1"/>
        </xdr:cNvPicPr>
      </xdr:nvPicPr>
      <xdr:blipFill>
        <a:blip r:embed="rId1"/>
        <a:stretch>
          <a:fillRect/>
        </a:stretch>
      </xdr:blipFill>
      <xdr:spPr>
        <a:xfrm>
          <a:off x="66675" y="114300"/>
          <a:ext cx="400050" cy="3048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85725</xdr:rowOff>
    </xdr:from>
    <xdr:to>
      <xdr:col>2</xdr:col>
      <xdr:colOff>142875</xdr:colOff>
      <xdr:row>2</xdr:row>
      <xdr:rowOff>28575</xdr:rowOff>
    </xdr:to>
    <xdr:pic>
      <xdr:nvPicPr>
        <xdr:cNvPr id="1" name="Imagen 2" descr="Imagen relacionada">
          <a:hlinkClick r:id="rId3"/>
        </xdr:cNvPr>
        <xdr:cNvPicPr preferRelativeResize="1">
          <a:picLocks noChangeAspect="1"/>
        </xdr:cNvPicPr>
      </xdr:nvPicPr>
      <xdr:blipFill>
        <a:blip r:embed="rId1"/>
        <a:stretch>
          <a:fillRect/>
        </a:stretch>
      </xdr:blipFill>
      <xdr:spPr>
        <a:xfrm>
          <a:off x="38100" y="85725"/>
          <a:ext cx="409575"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2:O22"/>
  <sheetViews>
    <sheetView tabSelected="1" zoomScalePageLayoutView="0" workbookViewId="0" topLeftCell="A1">
      <selection activeCell="I10" sqref="I10"/>
    </sheetView>
  </sheetViews>
  <sheetFormatPr defaultColWidth="0" defaultRowHeight="12.75" zeroHeight="1"/>
  <cols>
    <col min="1" max="1" width="0.85546875" style="246" customWidth="1"/>
    <col min="2" max="2" width="10.8515625" style="246" customWidth="1"/>
    <col min="3" max="3" width="12.421875" style="246" customWidth="1"/>
    <col min="4" max="15" width="10.8515625" style="246" customWidth="1"/>
    <col min="16" max="16384" width="0" style="246" hidden="1" customWidth="1"/>
  </cols>
  <sheetData>
    <row r="1" ht="3" customHeight="1"/>
    <row r="2" spans="1:3" s="243" customFormat="1" ht="12.75">
      <c r="A2" s="246"/>
      <c r="B2" s="246"/>
      <c r="C2" s="246"/>
    </row>
    <row r="3" spans="1:15" s="243" customFormat="1" ht="23.25">
      <c r="A3" s="246"/>
      <c r="B3" s="246"/>
      <c r="C3" s="246"/>
      <c r="D3" s="373" t="s">
        <v>119</v>
      </c>
      <c r="E3" s="373"/>
      <c r="F3" s="373"/>
      <c r="G3" s="373"/>
      <c r="H3" s="373"/>
      <c r="I3" s="373"/>
      <c r="J3" s="373"/>
      <c r="K3" s="373"/>
      <c r="L3" s="373"/>
      <c r="M3" s="373"/>
      <c r="N3" s="373"/>
      <c r="O3" s="373"/>
    </row>
    <row r="4" spans="1:14" s="243" customFormat="1" ht="12.75">
      <c r="A4" s="246"/>
      <c r="B4" s="246"/>
      <c r="C4" s="246"/>
      <c r="N4" s="248"/>
    </row>
    <row r="5" ht="12.75"/>
    <row r="6" ht="12"/>
    <row r="7" ht="12">
      <c r="C7" s="239" t="s">
        <v>120</v>
      </c>
    </row>
    <row r="8" ht="12">
      <c r="C8" s="239" t="s">
        <v>121</v>
      </c>
    </row>
    <row r="9" ht="12">
      <c r="C9" s="239" t="s">
        <v>122</v>
      </c>
    </row>
    <row r="10" ht="12">
      <c r="C10" s="246" t="s">
        <v>148</v>
      </c>
    </row>
    <row r="11" ht="12">
      <c r="C11" s="239" t="s">
        <v>178</v>
      </c>
    </row>
    <row r="12" ht="12">
      <c r="C12" s="239" t="s">
        <v>179</v>
      </c>
    </row>
    <row r="13" s="243" customFormat="1" ht="5.25" customHeight="1">
      <c r="A13" s="246"/>
    </row>
    <row r="14" s="247" customFormat="1" ht="12">
      <c r="A14" s="246"/>
    </row>
    <row r="15" ht="12"/>
    <row r="16" ht="12"/>
    <row r="17" ht="12"/>
    <row r="18" ht="12"/>
    <row r="19" ht="12"/>
    <row r="20" ht="12">
      <c r="D20" s="239"/>
    </row>
    <row r="21" ht="12">
      <c r="D21" s="239"/>
    </row>
    <row r="22" spans="4:14" ht="12">
      <c r="D22" s="239"/>
      <c r="N22" s="239"/>
    </row>
    <row r="23" ht="12"/>
  </sheetData>
  <sheetProtection password="CAE7" sheet="1"/>
  <mergeCells count="1">
    <mergeCell ref="D3:O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3"/>
  <dimension ref="A2:Q127"/>
  <sheetViews>
    <sheetView showGridLines="0" defaultGridColor="0" zoomScale="86" zoomScaleNormal="86" zoomScalePageLayoutView="0" colorId="23" workbookViewId="0" topLeftCell="A1">
      <pane ySplit="6" topLeftCell="A7" activePane="bottomLeft" state="frozen"/>
      <selection pane="topLeft" activeCell="A1" sqref="A1"/>
      <selection pane="bottomLeft" activeCell="L82" sqref="L82"/>
    </sheetView>
  </sheetViews>
  <sheetFormatPr defaultColWidth="11.421875" defaultRowHeight="12.75" outlineLevelCol="1"/>
  <cols>
    <col min="1" max="1" width="1.421875" style="10" customWidth="1"/>
    <col min="2" max="2" width="4.00390625" style="10" customWidth="1"/>
    <col min="3" max="3" width="1.421875" style="10" customWidth="1"/>
    <col min="4" max="4" width="30.8515625" style="10" customWidth="1"/>
    <col min="5" max="5" width="39.421875" style="10" customWidth="1"/>
    <col min="6" max="6" width="24.28125" style="10" customWidth="1"/>
    <col min="7" max="7" width="16.28125" style="13" hidden="1" customWidth="1"/>
    <col min="8" max="8" width="16.421875" style="13" hidden="1" customWidth="1"/>
    <col min="9" max="9" width="18.7109375" style="13" hidden="1" customWidth="1"/>
    <col min="10" max="10" width="30.421875" style="14" customWidth="1" outlineLevel="1"/>
    <col min="11" max="11" width="22.7109375" style="14" customWidth="1"/>
    <col min="12" max="12" width="14.7109375" style="14" bestFit="1" customWidth="1"/>
    <col min="13" max="13" width="21.00390625" style="14" customWidth="1"/>
    <col min="14" max="14" width="17.7109375" style="14" customWidth="1"/>
    <col min="15" max="15" width="11.421875" style="10" customWidth="1"/>
    <col min="16" max="16384" width="11.421875" style="10" customWidth="1"/>
  </cols>
  <sheetData>
    <row r="1" ht="5.25" customHeight="1"/>
    <row r="2" spans="2:11" ht="8.25" customHeight="1">
      <c r="B2" s="206"/>
      <c r="C2" s="206"/>
      <c r="D2" s="206"/>
      <c r="E2" s="206"/>
      <c r="F2" s="206"/>
      <c r="G2" s="207"/>
      <c r="H2" s="207"/>
      <c r="I2" s="207"/>
      <c r="J2" s="208"/>
      <c r="K2" s="208"/>
    </row>
    <row r="3" spans="2:13" ht="16.5" customHeight="1">
      <c r="B3" s="206"/>
      <c r="C3" s="206"/>
      <c r="D3" s="209"/>
      <c r="E3" s="218" t="s">
        <v>155</v>
      </c>
      <c r="F3" s="217"/>
      <c r="G3" s="218"/>
      <c r="H3" s="218"/>
      <c r="I3" s="218"/>
      <c r="J3" s="218"/>
      <c r="K3" s="292" t="s">
        <v>131</v>
      </c>
      <c r="M3" s="135"/>
    </row>
    <row r="4" spans="2:11" ht="6.75" customHeight="1">
      <c r="B4" s="206"/>
      <c r="C4" s="206"/>
      <c r="D4" s="212"/>
      <c r="E4" s="210"/>
      <c r="F4" s="210"/>
      <c r="G4" s="210"/>
      <c r="H4" s="210"/>
      <c r="I4" s="210"/>
      <c r="J4" s="210"/>
      <c r="K4" s="213"/>
    </row>
    <row r="5" spans="2:11" ht="20.25">
      <c r="B5" s="206"/>
      <c r="C5" s="206"/>
      <c r="D5" s="214"/>
      <c r="E5" s="218" t="s">
        <v>158</v>
      </c>
      <c r="F5" s="215"/>
      <c r="G5" s="218"/>
      <c r="H5" s="218"/>
      <c r="I5" s="218"/>
      <c r="J5" s="218"/>
      <c r="K5" s="211"/>
    </row>
    <row r="6" spans="2:11" ht="6" customHeight="1">
      <c r="B6" s="206"/>
      <c r="C6" s="206"/>
      <c r="D6" s="206"/>
      <c r="E6" s="206"/>
      <c r="F6" s="206"/>
      <c r="G6" s="216"/>
      <c r="H6" s="216"/>
      <c r="I6" s="216"/>
      <c r="J6" s="208"/>
      <c r="K6" s="208"/>
    </row>
    <row r="7" ht="12.75"/>
    <row r="8" spans="2:15" ht="21.75" customHeight="1">
      <c r="B8" s="370" t="s">
        <v>183</v>
      </c>
      <c r="C8" s="205"/>
      <c r="D8" s="205"/>
      <c r="E8" s="205"/>
      <c r="F8" s="205"/>
      <c r="G8" s="9" t="s">
        <v>67</v>
      </c>
      <c r="H8" s="9"/>
      <c r="I8" s="139"/>
      <c r="K8" s="223"/>
      <c r="M8" s="374">
        <f>+D102</f>
      </c>
      <c r="N8" s="374"/>
      <c r="O8" s="374"/>
    </row>
    <row r="9" spans="7:15" ht="15" customHeight="1">
      <c r="G9" s="9" t="s">
        <v>69</v>
      </c>
      <c r="H9" s="229"/>
      <c r="I9" s="139"/>
      <c r="J9" s="230"/>
      <c r="K9" s="224"/>
      <c r="M9" s="374"/>
      <c r="N9" s="374"/>
      <c r="O9" s="374"/>
    </row>
    <row r="10" spans="8:15" ht="12.75">
      <c r="H10" s="231"/>
      <c r="J10" s="139" t="s">
        <v>184</v>
      </c>
      <c r="M10" s="374"/>
      <c r="N10" s="374"/>
      <c r="O10" s="374"/>
    </row>
    <row r="11" spans="2:15" ht="12.75">
      <c r="B11" s="379" t="s">
        <v>97</v>
      </c>
      <c r="C11" s="379"/>
      <c r="D11" s="379"/>
      <c r="E11" s="220" t="s">
        <v>151</v>
      </c>
      <c r="F11" s="16"/>
      <c r="G11" s="299"/>
      <c r="H11" s="232"/>
      <c r="I11" s="232"/>
      <c r="J11" s="230"/>
      <c r="M11" s="374"/>
      <c r="N11" s="374"/>
      <c r="O11" s="374"/>
    </row>
    <row r="12" spans="2:15" ht="15">
      <c r="B12" s="379" t="s">
        <v>96</v>
      </c>
      <c r="C12" s="379"/>
      <c r="D12" s="379"/>
      <c r="E12" s="221"/>
      <c r="F12" s="17"/>
      <c r="H12" s="231"/>
      <c r="I12" s="231"/>
      <c r="J12" s="398" t="s">
        <v>23</v>
      </c>
      <c r="K12" s="398"/>
      <c r="M12" s="374"/>
      <c r="N12" s="374"/>
      <c r="O12" s="374"/>
    </row>
    <row r="13" spans="2:15" ht="12.75">
      <c r="B13" s="379" t="s">
        <v>92</v>
      </c>
      <c r="C13" s="379"/>
      <c r="D13" s="379"/>
      <c r="E13" s="220"/>
      <c r="F13" s="18"/>
      <c r="G13" s="300"/>
      <c r="H13" s="233"/>
      <c r="I13" s="233"/>
      <c r="J13" s="302"/>
      <c r="K13" s="359"/>
      <c r="M13" s="374"/>
      <c r="N13" s="374"/>
      <c r="O13" s="374"/>
    </row>
    <row r="14" spans="2:12" ht="15">
      <c r="B14" s="383" t="s">
        <v>91</v>
      </c>
      <c r="C14" s="383"/>
      <c r="D14" s="383"/>
      <c r="E14" s="222">
        <v>12</v>
      </c>
      <c r="F14" s="19"/>
      <c r="G14" s="89"/>
      <c r="H14" s="234"/>
      <c r="I14" s="234"/>
      <c r="J14" s="302" t="s">
        <v>157</v>
      </c>
      <c r="K14" s="362">
        <v>38004</v>
      </c>
      <c r="L14" s="14" t="s">
        <v>180</v>
      </c>
    </row>
    <row r="15" spans="2:11" ht="12.75">
      <c r="B15" s="383" t="s">
        <v>126</v>
      </c>
      <c r="C15" s="383"/>
      <c r="D15" s="383"/>
      <c r="E15" s="225" t="s">
        <v>162</v>
      </c>
      <c r="G15" s="301" t="s">
        <v>94</v>
      </c>
      <c r="H15" s="234"/>
      <c r="I15" s="234"/>
      <c r="J15" s="230"/>
      <c r="K15" s="89"/>
    </row>
    <row r="16" ht="13.5" thickBot="1"/>
    <row r="17" spans="2:11" ht="15.75" thickBot="1">
      <c r="B17" s="20"/>
      <c r="C17" s="21"/>
      <c r="D17" s="22" t="s">
        <v>19</v>
      </c>
      <c r="E17" s="22"/>
      <c r="F17" s="303" t="s">
        <v>159</v>
      </c>
      <c r="G17" s="226" t="s">
        <v>20</v>
      </c>
      <c r="H17" s="226" t="s">
        <v>99</v>
      </c>
      <c r="I17" s="226" t="s">
        <v>100</v>
      </c>
      <c r="J17" s="23" t="s">
        <v>21</v>
      </c>
      <c r="K17" s="23" t="s">
        <v>22</v>
      </c>
    </row>
    <row r="18" ht="4.5" customHeight="1">
      <c r="F18" s="304"/>
    </row>
    <row r="19" spans="2:11" ht="14.25" hidden="1" thickBot="1">
      <c r="B19" s="20"/>
      <c r="C19" s="21"/>
      <c r="D19" s="22" t="str">
        <f>+D17</f>
        <v>Conceptos</v>
      </c>
      <c r="E19" s="22"/>
      <c r="F19" s="305" t="s">
        <v>160</v>
      </c>
      <c r="G19" s="226" t="s">
        <v>20</v>
      </c>
      <c r="H19" s="226"/>
      <c r="I19" s="226"/>
      <c r="J19" s="23" t="s">
        <v>21</v>
      </c>
      <c r="K19" s="23" t="str">
        <f>+K17</f>
        <v>Depuración</v>
      </c>
    </row>
    <row r="20" spans="4:11" ht="13.5" thickBot="1">
      <c r="D20" s="1"/>
      <c r="E20" s="1"/>
      <c r="F20" s="1"/>
      <c r="G20" s="24"/>
      <c r="H20" s="24"/>
      <c r="I20" s="24"/>
      <c r="J20" s="25"/>
      <c r="K20" s="25"/>
    </row>
    <row r="21" spans="2:6" ht="14.25" customHeight="1" thickBot="1">
      <c r="B21" s="26">
        <v>1</v>
      </c>
      <c r="C21" s="27"/>
      <c r="D21" s="198" t="s">
        <v>25</v>
      </c>
      <c r="E21" s="198"/>
      <c r="F21" s="28"/>
    </row>
    <row r="22" spans="4:11" ht="12.75" customHeight="1">
      <c r="D22" s="386" t="s">
        <v>32</v>
      </c>
      <c r="E22" s="387"/>
      <c r="F22" s="15"/>
      <c r="G22" s="30">
        <f>+F22</f>
        <v>0</v>
      </c>
      <c r="H22" s="30"/>
      <c r="I22" s="30"/>
      <c r="J22" s="296"/>
      <c r="K22" s="31">
        <f>+G22</f>
        <v>0</v>
      </c>
    </row>
    <row r="23" spans="4:11" ht="12.75" customHeight="1">
      <c r="D23" s="386" t="s">
        <v>18</v>
      </c>
      <c r="E23" s="387"/>
      <c r="F23" s="15">
        <v>0</v>
      </c>
      <c r="G23" s="30">
        <f aca="true" t="shared" si="0" ref="G23:G33">+F23</f>
        <v>0</v>
      </c>
      <c r="H23" s="30"/>
      <c r="I23" s="30"/>
      <c r="J23" s="296"/>
      <c r="K23" s="31">
        <f>+G23</f>
        <v>0</v>
      </c>
    </row>
    <row r="24" spans="4:11" ht="12.75" customHeight="1">
      <c r="D24" s="386" t="s">
        <v>87</v>
      </c>
      <c r="E24" s="387"/>
      <c r="F24" s="15">
        <v>0</v>
      </c>
      <c r="G24" s="30">
        <f t="shared" si="0"/>
        <v>0</v>
      </c>
      <c r="H24" s="30"/>
      <c r="I24" s="30"/>
      <c r="J24" s="296"/>
      <c r="K24" s="31">
        <f aca="true" t="shared" si="1" ref="K24:K34">+G24</f>
        <v>0</v>
      </c>
    </row>
    <row r="25" spans="4:11" ht="12.75" customHeight="1">
      <c r="D25" s="386" t="s">
        <v>33</v>
      </c>
      <c r="E25" s="387"/>
      <c r="F25" s="15">
        <v>0</v>
      </c>
      <c r="G25" s="30">
        <f>+F25</f>
        <v>0</v>
      </c>
      <c r="H25" s="30"/>
      <c r="I25" s="30"/>
      <c r="J25" s="296"/>
      <c r="K25" s="31">
        <f t="shared" si="1"/>
        <v>0</v>
      </c>
    </row>
    <row r="26" spans="4:11" ht="12.75" customHeight="1">
      <c r="D26" s="386" t="s">
        <v>17</v>
      </c>
      <c r="E26" s="387"/>
      <c r="F26" s="15"/>
      <c r="G26" s="30">
        <f t="shared" si="0"/>
        <v>0</v>
      </c>
      <c r="H26" s="30"/>
      <c r="I26" s="30"/>
      <c r="J26" s="296"/>
      <c r="K26" s="31">
        <f t="shared" si="1"/>
        <v>0</v>
      </c>
    </row>
    <row r="27" spans="4:11" ht="12.75" customHeight="1">
      <c r="D27" s="386" t="s">
        <v>46</v>
      </c>
      <c r="E27" s="387"/>
      <c r="F27" s="15"/>
      <c r="G27" s="30">
        <f t="shared" si="0"/>
        <v>0</v>
      </c>
      <c r="H27" s="30"/>
      <c r="I27" s="30"/>
      <c r="J27" s="296"/>
      <c r="K27" s="31">
        <f t="shared" si="1"/>
        <v>0</v>
      </c>
    </row>
    <row r="28" spans="4:11" ht="12.75" customHeight="1">
      <c r="D28" s="386" t="s">
        <v>34</v>
      </c>
      <c r="E28" s="387"/>
      <c r="F28" s="15">
        <v>0</v>
      </c>
      <c r="G28" s="30">
        <f t="shared" si="0"/>
        <v>0</v>
      </c>
      <c r="H28" s="30"/>
      <c r="I28" s="30"/>
      <c r="J28" s="296"/>
      <c r="K28" s="31">
        <f t="shared" si="1"/>
        <v>0</v>
      </c>
    </row>
    <row r="29" spans="4:11" ht="12.75" customHeight="1">
      <c r="D29" s="386" t="s">
        <v>35</v>
      </c>
      <c r="E29" s="387"/>
      <c r="F29" s="15">
        <v>0</v>
      </c>
      <c r="G29" s="30">
        <f t="shared" si="0"/>
        <v>0</v>
      </c>
      <c r="H29" s="30"/>
      <c r="I29" s="30"/>
      <c r="J29" s="296"/>
      <c r="K29" s="31">
        <f t="shared" si="1"/>
        <v>0</v>
      </c>
    </row>
    <row r="30" spans="4:11" ht="12.75" customHeight="1">
      <c r="D30" s="386" t="s">
        <v>15</v>
      </c>
      <c r="E30" s="387"/>
      <c r="F30" s="15">
        <v>0</v>
      </c>
      <c r="G30" s="30">
        <f t="shared" si="0"/>
        <v>0</v>
      </c>
      <c r="H30" s="30"/>
      <c r="I30" s="30"/>
      <c r="J30" s="296"/>
      <c r="K30" s="31">
        <f t="shared" si="1"/>
        <v>0</v>
      </c>
    </row>
    <row r="31" spans="4:11" ht="12.75" customHeight="1">
      <c r="D31" s="386" t="s">
        <v>36</v>
      </c>
      <c r="E31" s="387"/>
      <c r="F31" s="15">
        <v>0</v>
      </c>
      <c r="G31" s="30">
        <f t="shared" si="0"/>
        <v>0</v>
      </c>
      <c r="H31" s="30"/>
      <c r="I31" s="30"/>
      <c r="J31" s="296"/>
      <c r="K31" s="31">
        <f t="shared" si="1"/>
        <v>0</v>
      </c>
    </row>
    <row r="32" spans="4:12" ht="12.75" customHeight="1">
      <c r="D32" s="386" t="s">
        <v>47</v>
      </c>
      <c r="E32" s="387"/>
      <c r="F32" s="30">
        <v>0</v>
      </c>
      <c r="G32" s="30">
        <f t="shared" si="0"/>
        <v>0</v>
      </c>
      <c r="H32" s="30"/>
      <c r="I32" s="30"/>
      <c r="J32" s="296"/>
      <c r="K32" s="31">
        <f t="shared" si="1"/>
        <v>0</v>
      </c>
      <c r="L32" s="14">
        <f>+IF((F32&lt;1),"","Debe diligenciar el salario de los ultimos seis meses en cesantias")</f>
      </c>
    </row>
    <row r="33" spans="4:12" ht="12.75" customHeight="1">
      <c r="D33" s="386" t="s">
        <v>28</v>
      </c>
      <c r="E33" s="387"/>
      <c r="F33" s="30">
        <v>0</v>
      </c>
      <c r="G33" s="30">
        <f t="shared" si="0"/>
        <v>0</v>
      </c>
      <c r="H33" s="30"/>
      <c r="I33" s="30"/>
      <c r="J33" s="296"/>
      <c r="K33" s="31">
        <f t="shared" si="1"/>
        <v>0</v>
      </c>
      <c r="L33" s="14">
        <f>+IF((F33&lt;1),"","Debe diligenciar el salario de los ultimos seis meses en cesantias")</f>
      </c>
    </row>
    <row r="34" spans="2:11" ht="12.75" customHeight="1">
      <c r="B34" s="32"/>
      <c r="D34" s="386" t="s">
        <v>24</v>
      </c>
      <c r="E34" s="387"/>
      <c r="F34" s="15">
        <v>0</v>
      </c>
      <c r="G34" s="30">
        <f>+F34</f>
        <v>0</v>
      </c>
      <c r="H34" s="30"/>
      <c r="I34" s="30"/>
      <c r="J34" s="296"/>
      <c r="K34" s="31">
        <f t="shared" si="1"/>
        <v>0</v>
      </c>
    </row>
    <row r="35" spans="2:11" ht="12.75" customHeight="1">
      <c r="B35" s="32"/>
      <c r="D35" s="407" t="s">
        <v>65</v>
      </c>
      <c r="E35" s="408"/>
      <c r="F35" s="33">
        <f>SUM(F22:F34)</f>
        <v>0</v>
      </c>
      <c r="G35" s="34">
        <f>SUM(G22:G34)</f>
        <v>0</v>
      </c>
      <c r="H35" s="34"/>
      <c r="I35" s="34"/>
      <c r="J35" s="35"/>
      <c r="K35" s="33">
        <f>SUM(K22:K34)</f>
        <v>0</v>
      </c>
    </row>
    <row r="36" spans="2:10" ht="13.5" thickBot="1">
      <c r="B36" s="32"/>
      <c r="F36" s="14"/>
      <c r="J36" s="36"/>
    </row>
    <row r="37" spans="2:10" ht="14.25" customHeight="1" thickBot="1">
      <c r="B37" s="26">
        <v>2</v>
      </c>
      <c r="D37" s="199" t="s">
        <v>83</v>
      </c>
      <c r="E37" s="199"/>
      <c r="F37" s="14"/>
      <c r="J37" s="36"/>
    </row>
    <row r="38" spans="2:12" ht="12.75">
      <c r="B38" s="32"/>
      <c r="D38" s="386" t="s">
        <v>88</v>
      </c>
      <c r="E38" s="387"/>
      <c r="F38" s="15"/>
      <c r="G38" s="30">
        <f>SUM(F38:F38)</f>
        <v>0</v>
      </c>
      <c r="H38" s="30"/>
      <c r="I38" s="30"/>
      <c r="J38" s="296"/>
      <c r="K38" s="31">
        <f>+G38</f>
        <v>0</v>
      </c>
      <c r="L38" s="135"/>
    </row>
    <row r="39" spans="2:12" ht="12.75">
      <c r="B39" s="32"/>
      <c r="D39" s="386" t="s">
        <v>50</v>
      </c>
      <c r="E39" s="387"/>
      <c r="F39" s="15"/>
      <c r="G39" s="30">
        <f>SUM(F39:F39)</f>
        <v>0</v>
      </c>
      <c r="H39" s="30"/>
      <c r="I39" s="30"/>
      <c r="J39" s="296"/>
      <c r="K39" s="31">
        <f>+G39</f>
        <v>0</v>
      </c>
      <c r="L39" s="135"/>
    </row>
    <row r="40" spans="2:12" ht="22.5">
      <c r="B40" s="32"/>
      <c r="D40" s="386" t="s">
        <v>101</v>
      </c>
      <c r="E40" s="387"/>
      <c r="F40" s="15"/>
      <c r="G40" s="30">
        <f>SUM(F40:F40)</f>
        <v>0</v>
      </c>
      <c r="H40" s="30">
        <f>+K35*0.25</f>
        <v>0</v>
      </c>
      <c r="I40" s="30">
        <f>(2500*K14)/12*E14</f>
        <v>95010000</v>
      </c>
      <c r="J40" s="200" t="s">
        <v>98</v>
      </c>
      <c r="K40" s="31">
        <f>MIN(G40,H40,I40)</f>
        <v>0</v>
      </c>
      <c r="L40" s="135"/>
    </row>
    <row r="41" spans="2:12" ht="12.75">
      <c r="B41" s="32"/>
      <c r="D41" s="386" t="s">
        <v>89</v>
      </c>
      <c r="E41" s="387"/>
      <c r="F41" s="15"/>
      <c r="G41" s="30">
        <f>SUM(F41:F41)</f>
        <v>0</v>
      </c>
      <c r="H41" s="30"/>
      <c r="I41" s="30"/>
      <c r="J41" s="296"/>
      <c r="K41" s="31">
        <f>+G41</f>
        <v>0</v>
      </c>
      <c r="L41" s="135"/>
    </row>
    <row r="42" spans="2:11" ht="12.75">
      <c r="B42" s="32"/>
      <c r="D42" s="399" t="s">
        <v>45</v>
      </c>
      <c r="E42" s="400"/>
      <c r="F42" s="33">
        <f>SUM(F38:F41)</f>
        <v>0</v>
      </c>
      <c r="G42" s="34">
        <f>SUM(G38:G41)</f>
        <v>0</v>
      </c>
      <c r="H42" s="34"/>
      <c r="I42" s="34"/>
      <c r="J42" s="297"/>
      <c r="K42" s="34">
        <f>SUM(K38:K41)</f>
        <v>0</v>
      </c>
    </row>
    <row r="43" spans="2:11" ht="12.75">
      <c r="B43" s="32"/>
      <c r="D43" s="38"/>
      <c r="E43" s="38"/>
      <c r="F43" s="39"/>
      <c r="G43" s="40"/>
      <c r="H43" s="40"/>
      <c r="I43" s="40"/>
      <c r="J43" s="41"/>
      <c r="K43" s="42"/>
    </row>
    <row r="44" spans="2:11" ht="12.75">
      <c r="B44" s="32"/>
      <c r="D44" s="43" t="s">
        <v>26</v>
      </c>
      <c r="E44" s="44"/>
      <c r="F44" s="44"/>
      <c r="G44" s="45"/>
      <c r="H44" s="45"/>
      <c r="I44" s="45"/>
      <c r="J44" s="46"/>
      <c r="K44" s="47">
        <f>+K35-K42</f>
        <v>0</v>
      </c>
    </row>
    <row r="45" spans="2:14" s="11" customFormat="1" ht="13.5" thickBot="1">
      <c r="B45" s="48"/>
      <c r="D45" s="49"/>
      <c r="E45" s="49"/>
      <c r="F45" s="49"/>
      <c r="G45" s="50"/>
      <c r="H45" s="50"/>
      <c r="I45" s="50"/>
      <c r="J45" s="49"/>
      <c r="K45" s="14"/>
      <c r="L45" s="51"/>
      <c r="M45" s="51"/>
      <c r="N45" s="51"/>
    </row>
    <row r="46" spans="2:12" ht="14.25" customHeight="1" thickBot="1">
      <c r="B46" s="26">
        <v>3</v>
      </c>
      <c r="D46" s="199" t="s">
        <v>84</v>
      </c>
      <c r="E46" s="199"/>
      <c r="F46" s="14"/>
      <c r="H46" s="235"/>
      <c r="I46" s="235"/>
      <c r="L46" s="51"/>
    </row>
    <row r="47" spans="2:11" ht="14.25" customHeight="1">
      <c r="B47" s="32"/>
      <c r="D47" s="391" t="s">
        <v>49</v>
      </c>
      <c r="E47" s="392"/>
      <c r="F47" s="15"/>
      <c r="G47" s="375"/>
      <c r="H47" s="237">
        <f>+K14*(3800/12*E14)</f>
        <v>144415200</v>
      </c>
      <c r="I47" s="238">
        <f>+IF((F49+F47+F48)&lt;(K35*30%),(F49+F48+F47),(K35*30%))</f>
        <v>0</v>
      </c>
      <c r="J47" s="375" t="s">
        <v>37</v>
      </c>
      <c r="K47" s="388">
        <f>+IF(I47&lt;H47,I47,H47)</f>
        <v>0</v>
      </c>
    </row>
    <row r="48" spans="2:11" ht="14.25" customHeight="1">
      <c r="B48" s="32"/>
      <c r="D48" s="381" t="s">
        <v>150</v>
      </c>
      <c r="E48" s="382"/>
      <c r="F48" s="15"/>
      <c r="G48" s="376"/>
      <c r="H48" s="236"/>
      <c r="I48" s="236"/>
      <c r="J48" s="376"/>
      <c r="K48" s="389"/>
    </row>
    <row r="49" spans="2:12" ht="12" hidden="1">
      <c r="B49" s="32"/>
      <c r="D49" s="384"/>
      <c r="E49" s="385"/>
      <c r="F49" s="15"/>
      <c r="G49" s="376"/>
      <c r="H49" s="236"/>
      <c r="I49" s="236"/>
      <c r="J49" s="380"/>
      <c r="K49" s="390"/>
      <c r="L49" s="190"/>
    </row>
    <row r="50" spans="2:11" ht="12.75">
      <c r="B50" s="32"/>
      <c r="D50" s="396" t="s">
        <v>104</v>
      </c>
      <c r="E50" s="397"/>
      <c r="F50" s="15"/>
      <c r="G50" s="30">
        <f>SUM(F50:F50)</f>
        <v>0</v>
      </c>
      <c r="H50" s="30"/>
      <c r="I50" s="30"/>
      <c r="J50" s="200"/>
      <c r="K50" s="52">
        <f>+G50</f>
        <v>0</v>
      </c>
    </row>
    <row r="51" spans="2:11" ht="12" hidden="1">
      <c r="B51" s="32"/>
      <c r="D51" s="384"/>
      <c r="E51" s="385"/>
      <c r="F51" s="15"/>
      <c r="G51" s="30"/>
      <c r="H51" s="30"/>
      <c r="I51" s="30"/>
      <c r="J51" s="200"/>
      <c r="K51" s="52">
        <f>+G51</f>
        <v>0</v>
      </c>
    </row>
    <row r="52" spans="2:12" ht="12.75">
      <c r="B52" s="32"/>
      <c r="D52" s="405" t="s">
        <v>105</v>
      </c>
      <c r="E52" s="406"/>
      <c r="F52" s="15"/>
      <c r="G52" s="30">
        <f>SUM(F52:F52)</f>
        <v>0</v>
      </c>
      <c r="H52" s="30"/>
      <c r="I52" s="30"/>
      <c r="J52" s="298"/>
      <c r="K52" s="52">
        <f>+G52</f>
        <v>0</v>
      </c>
      <c r="L52" s="51"/>
    </row>
    <row r="53" spans="2:11" ht="12" customHeight="1">
      <c r="B53" s="32"/>
      <c r="D53" s="381" t="s">
        <v>106</v>
      </c>
      <c r="E53" s="382"/>
      <c r="F53" s="15"/>
      <c r="G53" s="30">
        <f>SUM(F53:F53)</f>
        <v>0</v>
      </c>
      <c r="H53" s="30"/>
      <c r="I53" s="30"/>
      <c r="J53" s="200"/>
      <c r="K53" s="52">
        <f>+G53</f>
        <v>0</v>
      </c>
    </row>
    <row r="54" spans="2:11" ht="12" customHeight="1">
      <c r="B54" s="32"/>
      <c r="D54" s="381" t="s">
        <v>107</v>
      </c>
      <c r="E54" s="382"/>
      <c r="F54" s="15"/>
      <c r="G54" s="30">
        <f>SUM(F54:F54)</f>
        <v>0</v>
      </c>
      <c r="H54" s="30"/>
      <c r="I54" s="30"/>
      <c r="J54" s="200"/>
      <c r="K54" s="52">
        <f>+G54</f>
        <v>0</v>
      </c>
    </row>
    <row r="55" spans="2:11" ht="12.75">
      <c r="B55" s="32"/>
      <c r="D55" s="407" t="s">
        <v>133</v>
      </c>
      <c r="E55" s="408"/>
      <c r="F55" s="33">
        <f>SUM(F47:F54)</f>
        <v>0</v>
      </c>
      <c r="G55" s="34">
        <f>SUM(G50:G54)</f>
        <v>0</v>
      </c>
      <c r="H55" s="34"/>
      <c r="I55" s="34"/>
      <c r="J55" s="297"/>
      <c r="K55" s="33">
        <f>SUM(K47:K54)</f>
        <v>0</v>
      </c>
    </row>
    <row r="56" spans="2:6" ht="12.75">
      <c r="B56" s="32"/>
      <c r="F56" s="14"/>
    </row>
    <row r="57" spans="2:17" ht="12.75">
      <c r="B57" s="32"/>
      <c r="D57" s="43" t="s">
        <v>27</v>
      </c>
      <c r="E57" s="44"/>
      <c r="F57" s="44"/>
      <c r="G57" s="45"/>
      <c r="H57" s="45"/>
      <c r="I57" s="45"/>
      <c r="J57" s="46"/>
      <c r="K57" s="47">
        <f>+K44-K55</f>
        <v>0</v>
      </c>
      <c r="M57" s="230"/>
      <c r="N57" s="230"/>
      <c r="O57" s="239"/>
      <c r="P57" s="239"/>
      <c r="Q57" s="239"/>
    </row>
    <row r="58" spans="2:17" ht="13.5" thickBot="1">
      <c r="B58" s="32"/>
      <c r="F58" s="14"/>
      <c r="K58" s="53" t="s">
        <v>14</v>
      </c>
      <c r="M58" s="230"/>
      <c r="N58" s="230"/>
      <c r="O58" s="239"/>
      <c r="P58" s="239"/>
      <c r="Q58" s="239"/>
    </row>
    <row r="59" spans="2:17" ht="14.25" customHeight="1" thickBot="1">
      <c r="B59" s="26">
        <v>4</v>
      </c>
      <c r="D59" s="199" t="s">
        <v>103</v>
      </c>
      <c r="E59" s="199"/>
      <c r="F59" s="14"/>
      <c r="M59" s="230"/>
      <c r="N59" s="230"/>
      <c r="O59" s="239"/>
      <c r="P59" s="239"/>
      <c r="Q59" s="239"/>
    </row>
    <row r="60" spans="4:17" ht="12.75">
      <c r="D60" s="381" t="s">
        <v>149</v>
      </c>
      <c r="E60" s="382"/>
      <c r="F60" s="15"/>
      <c r="G60" s="166"/>
      <c r="H60" s="200">
        <f>100*K14*E14</f>
        <v>45604800</v>
      </c>
      <c r="I60" s="200"/>
      <c r="J60" s="200" t="s">
        <v>102</v>
      </c>
      <c r="K60" s="31">
        <f>+IF((F60&gt;H60),H60,F60)</f>
        <v>0</v>
      </c>
      <c r="L60" s="14">
        <f>+IF((K60&gt;1),"","")</f>
      </c>
      <c r="M60" s="230"/>
      <c r="N60" s="230"/>
      <c r="O60" s="230"/>
      <c r="P60" s="239"/>
      <c r="Q60" s="239"/>
    </row>
    <row r="61" spans="4:17" ht="12.75">
      <c r="D61" s="391" t="s">
        <v>90</v>
      </c>
      <c r="E61" s="392"/>
      <c r="F61" s="15"/>
      <c r="G61" s="166"/>
      <c r="H61" s="200"/>
      <c r="I61" s="200"/>
      <c r="J61" s="200" t="s">
        <v>40</v>
      </c>
      <c r="K61" s="31">
        <f>+IF(F61&lt;(16*K14*E14),F61,(16*K14*E14))</f>
        <v>0</v>
      </c>
      <c r="L61" s="14">
        <f>+IF((K61&gt;1),"","")</f>
      </c>
      <c r="M61" s="230"/>
      <c r="N61" s="230"/>
      <c r="O61" s="230"/>
      <c r="P61" s="239"/>
      <c r="Q61" s="239"/>
    </row>
    <row r="62" spans="4:17" ht="12.75">
      <c r="D62" s="401" t="s">
        <v>144</v>
      </c>
      <c r="E62" s="402"/>
      <c r="F62" s="377"/>
      <c r="G62" s="166"/>
      <c r="H62" s="201">
        <f>K35*0.1</f>
        <v>0</v>
      </c>
      <c r="I62" s="201"/>
      <c r="J62" s="375" t="s">
        <v>153</v>
      </c>
      <c r="K62" s="54">
        <f>IF(F62="SI",MIN(H62:H63),0)</f>
        <v>0</v>
      </c>
      <c r="L62" s="14">
        <f>+IF((K62&gt;1),"","")</f>
      </c>
      <c r="M62" s="293"/>
      <c r="N62" s="293"/>
      <c r="O62" s="293"/>
      <c r="P62" s="293"/>
      <c r="Q62" s="239"/>
    </row>
    <row r="63" spans="4:17" ht="12" hidden="1">
      <c r="D63" s="403"/>
      <c r="E63" s="404"/>
      <c r="F63" s="378"/>
      <c r="G63" s="166"/>
      <c r="H63" s="316">
        <f>32*K14*E14</f>
        <v>14593536</v>
      </c>
      <c r="I63" s="202"/>
      <c r="J63" s="380"/>
      <c r="K63" s="317"/>
      <c r="L63" s="14">
        <f>+IF((K63&gt;1),"","")</f>
      </c>
      <c r="M63" s="293"/>
      <c r="N63" s="293"/>
      <c r="O63" s="293"/>
      <c r="P63" s="293"/>
      <c r="Q63" s="239"/>
    </row>
    <row r="64" spans="4:17" ht="12.75">
      <c r="D64" s="394" t="s">
        <v>42</v>
      </c>
      <c r="E64" s="395"/>
      <c r="F64" s="33">
        <f>SUM(F60:F63)</f>
        <v>0</v>
      </c>
      <c r="G64" s="34"/>
      <c r="H64" s="34"/>
      <c r="I64" s="34"/>
      <c r="J64" s="297"/>
      <c r="K64" s="33">
        <f>SUM(K60:K63)</f>
        <v>0</v>
      </c>
      <c r="M64" s="230"/>
      <c r="N64" s="230"/>
      <c r="O64" s="239"/>
      <c r="P64" s="239"/>
      <c r="Q64" s="239"/>
    </row>
    <row r="65" spans="6:17" ht="12.75">
      <c r="F65" s="14"/>
      <c r="M65" s="230"/>
      <c r="N65" s="230"/>
      <c r="O65" s="239"/>
      <c r="P65" s="239"/>
      <c r="Q65" s="239"/>
    </row>
    <row r="66" spans="4:16" ht="12.75">
      <c r="D66" s="43" t="s">
        <v>41</v>
      </c>
      <c r="E66" s="44"/>
      <c r="F66" s="44"/>
      <c r="G66" s="46"/>
      <c r="H66" s="46"/>
      <c r="I66" s="46"/>
      <c r="J66" s="46"/>
      <c r="K66" s="55">
        <f>+K57-K64</f>
        <v>0</v>
      </c>
      <c r="L66" s="352"/>
      <c r="M66" s="352"/>
      <c r="N66" s="352"/>
      <c r="O66" s="19"/>
      <c r="P66" s="19"/>
    </row>
    <row r="67" spans="6:16" ht="13.5" thickBot="1">
      <c r="F67" s="14"/>
      <c r="L67" s="352"/>
      <c r="M67" s="352"/>
      <c r="N67" s="352"/>
      <c r="O67" s="19"/>
      <c r="P67" s="19"/>
    </row>
    <row r="68" spans="2:16" ht="16.5" thickBot="1">
      <c r="B68" s="26">
        <v>5</v>
      </c>
      <c r="D68" s="56" t="s">
        <v>48</v>
      </c>
      <c r="E68" s="204"/>
      <c r="F68" s="44"/>
      <c r="G68" s="45"/>
      <c r="H68" s="45"/>
      <c r="I68" s="45"/>
      <c r="J68" s="286" t="s">
        <v>181</v>
      </c>
      <c r="K68" s="58">
        <f>IF((K66*0.25)&gt;(240*E14*K14),(240*E14*K14),(K66*0.25))</f>
        <v>0</v>
      </c>
      <c r="L68" s="352"/>
      <c r="M68" s="352"/>
      <c r="N68" s="352"/>
      <c r="O68" s="19"/>
      <c r="P68" s="19"/>
    </row>
    <row r="69" spans="6:16" ht="12.75">
      <c r="F69" s="14"/>
      <c r="L69" s="352"/>
      <c r="M69" s="352"/>
      <c r="N69" s="352"/>
      <c r="O69" s="19"/>
      <c r="P69" s="19"/>
    </row>
    <row r="70" spans="4:16" ht="12.75">
      <c r="D70" s="277" t="s">
        <v>182</v>
      </c>
      <c r="E70" s="277"/>
      <c r="F70" s="277"/>
      <c r="G70" s="287">
        <f>+K44*40/100</f>
        <v>0</v>
      </c>
      <c r="H70" s="278">
        <f>(5040*K14)</f>
        <v>191540160</v>
      </c>
      <c r="I70" s="278">
        <f>+K68+K64+K55</f>
        <v>0</v>
      </c>
      <c r="J70" s="277"/>
      <c r="K70" s="47">
        <f>MIN(G70:I70)</f>
        <v>0</v>
      </c>
      <c r="L70" s="352"/>
      <c r="M70" s="352"/>
      <c r="N70" s="352"/>
      <c r="O70" s="19"/>
      <c r="P70" s="19"/>
    </row>
    <row r="71" spans="6:16" ht="12.75">
      <c r="F71" s="14"/>
      <c r="L71" s="352"/>
      <c r="M71" s="352"/>
      <c r="N71" s="352"/>
      <c r="O71" s="19"/>
      <c r="P71" s="19"/>
    </row>
    <row r="72" spans="4:16" ht="12.75">
      <c r="D72" s="43" t="s">
        <v>129</v>
      </c>
      <c r="E72" s="44"/>
      <c r="F72" s="44"/>
      <c r="G72" s="45"/>
      <c r="H72" s="45"/>
      <c r="I72" s="45"/>
      <c r="J72" s="46"/>
      <c r="K72" s="47">
        <f>+K44-K70</f>
        <v>0</v>
      </c>
      <c r="L72" s="352"/>
      <c r="M72" s="352"/>
      <c r="N72" s="352"/>
      <c r="O72" s="19"/>
      <c r="P72" s="19"/>
    </row>
    <row r="73" spans="6:16" ht="12.75">
      <c r="F73" s="14"/>
      <c r="L73" s="352"/>
      <c r="M73" s="352"/>
      <c r="N73" s="352"/>
      <c r="O73" s="19"/>
      <c r="P73" s="19"/>
    </row>
    <row r="74" spans="4:16" ht="12.75">
      <c r="D74" s="43" t="s">
        <v>130</v>
      </c>
      <c r="E74" s="44"/>
      <c r="F74" s="44"/>
      <c r="G74" s="45"/>
      <c r="H74" s="45"/>
      <c r="I74" s="45"/>
      <c r="J74" s="46"/>
      <c r="K74" s="47">
        <f>IF((E14=12),(K72/13),(K72/E14))</f>
        <v>0</v>
      </c>
      <c r="L74" s="352"/>
      <c r="M74" s="352"/>
      <c r="N74" s="352"/>
      <c r="O74" s="19"/>
      <c r="P74" s="19"/>
    </row>
    <row r="75" spans="4:16" ht="12.75">
      <c r="D75" s="59"/>
      <c r="E75" s="59"/>
      <c r="F75" s="59"/>
      <c r="G75" s="60"/>
      <c r="H75" s="60"/>
      <c r="I75" s="60"/>
      <c r="J75" s="59"/>
      <c r="K75" s="61"/>
      <c r="L75" s="352"/>
      <c r="M75" s="352"/>
      <c r="N75" s="352"/>
      <c r="O75" s="19"/>
      <c r="P75" s="19"/>
    </row>
    <row r="76" spans="6:16" ht="12.75">
      <c r="F76" s="288" t="s">
        <v>43</v>
      </c>
      <c r="G76" s="282"/>
      <c r="H76" s="282"/>
      <c r="I76" s="282"/>
      <c r="J76" s="283"/>
      <c r="K76" s="289">
        <f>+K74/K14</f>
        <v>0</v>
      </c>
      <c r="L76" s="352"/>
      <c r="M76" s="352"/>
      <c r="N76" s="352"/>
      <c r="O76" s="19"/>
      <c r="P76" s="19"/>
    </row>
    <row r="77" spans="4:11" ht="15" customHeight="1">
      <c r="D77" s="10" t="s">
        <v>152</v>
      </c>
      <c r="F77" s="14"/>
      <c r="K77" s="62"/>
    </row>
    <row r="78" spans="6:13" ht="12.75">
      <c r="F78" s="290" t="s">
        <v>127</v>
      </c>
      <c r="G78" s="284"/>
      <c r="H78" s="284"/>
      <c r="I78" s="284"/>
      <c r="J78" s="285"/>
      <c r="K78" s="291">
        <f>+_xlfn.IFERROR((Tab!H18*K14)/K74,0)</f>
        <v>0</v>
      </c>
      <c r="L78" s="393">
        <f>IF(K78&gt;0,"Este valor debe ser usado mensualmente en la depuración por el siguiente semestre a partir de la fecha de cálculo","")</f>
      </c>
      <c r="M78" s="393"/>
    </row>
    <row r="79" spans="2:13" ht="15" customHeight="1">
      <c r="B79" s="64"/>
      <c r="D79" s="360" t="s">
        <v>188</v>
      </c>
      <c r="E79" s="37"/>
      <c r="F79" s="14"/>
      <c r="K79" s="63"/>
      <c r="L79" s="393"/>
      <c r="M79" s="393"/>
    </row>
    <row r="80" spans="2:13" ht="15" customHeight="1">
      <c r="B80" s="64"/>
      <c r="D80" s="356"/>
      <c r="E80" s="356"/>
      <c r="F80" s="352"/>
      <c r="G80" s="352"/>
      <c r="H80" s="352"/>
      <c r="I80" s="352"/>
      <c r="J80" s="352"/>
      <c r="K80" s="357"/>
      <c r="L80" s="393"/>
      <c r="M80" s="393"/>
    </row>
    <row r="81" spans="2:13" ht="15" customHeight="1">
      <c r="B81" s="64"/>
      <c r="D81" s="371" t="s">
        <v>185</v>
      </c>
      <c r="E81" s="371"/>
      <c r="F81" s="354"/>
      <c r="G81" s="354"/>
      <c r="H81" s="354"/>
      <c r="I81" s="354"/>
      <c r="J81" s="354"/>
      <c r="K81" s="372"/>
      <c r="L81" s="242"/>
      <c r="M81" s="242"/>
    </row>
    <row r="82" spans="2:13" ht="15" customHeight="1">
      <c r="B82" s="64"/>
      <c r="D82" s="371" t="s">
        <v>186</v>
      </c>
      <c r="E82" s="371"/>
      <c r="F82" s="354"/>
      <c r="G82" s="354"/>
      <c r="H82" s="354"/>
      <c r="I82" s="354"/>
      <c r="J82" s="354"/>
      <c r="K82" s="372"/>
      <c r="L82" s="242"/>
      <c r="M82" s="242"/>
    </row>
    <row r="83" spans="2:13" ht="15" customHeight="1">
      <c r="B83" s="64"/>
      <c r="D83" s="371" t="s">
        <v>187</v>
      </c>
      <c r="E83" s="371"/>
      <c r="F83" s="354"/>
      <c r="G83" s="354"/>
      <c r="H83" s="354"/>
      <c r="I83" s="354"/>
      <c r="J83" s="354"/>
      <c r="K83" s="372"/>
      <c r="L83" s="242"/>
      <c r="M83" s="242"/>
    </row>
    <row r="84" spans="2:13" ht="15" customHeight="1">
      <c r="B84" s="64"/>
      <c r="D84" s="356"/>
      <c r="E84" s="356"/>
      <c r="F84" s="352"/>
      <c r="G84" s="352"/>
      <c r="H84" s="352"/>
      <c r="I84" s="352"/>
      <c r="J84" s="352"/>
      <c r="K84" s="357"/>
      <c r="L84" s="242"/>
      <c r="M84" s="242"/>
    </row>
    <row r="85" spans="2:13" ht="15" customHeight="1">
      <c r="B85" s="64"/>
      <c r="D85" s="356"/>
      <c r="E85" s="356"/>
      <c r="F85" s="352"/>
      <c r="G85" s="352"/>
      <c r="H85" s="352"/>
      <c r="I85" s="352"/>
      <c r="J85" s="352"/>
      <c r="K85" s="357"/>
      <c r="L85" s="242"/>
      <c r="M85" s="242"/>
    </row>
    <row r="86" spans="2:13" ht="15" customHeight="1">
      <c r="B86" s="64"/>
      <c r="D86" s="356"/>
      <c r="E86" s="356"/>
      <c r="F86" s="352"/>
      <c r="G86" s="352"/>
      <c r="H86" s="352"/>
      <c r="I86" s="352"/>
      <c r="J86" s="352"/>
      <c r="K86" s="357"/>
      <c r="L86" s="242"/>
      <c r="M86" s="242"/>
    </row>
    <row r="87" spans="2:13" ht="15" customHeight="1">
      <c r="B87" s="64"/>
      <c r="D87" s="356"/>
      <c r="E87" s="356"/>
      <c r="F87" s="352"/>
      <c r="G87" s="352"/>
      <c r="H87" s="352"/>
      <c r="I87" s="352"/>
      <c r="J87" s="352"/>
      <c r="K87" s="357"/>
      <c r="L87" s="242"/>
      <c r="M87" s="242"/>
    </row>
    <row r="88" spans="2:13" ht="15" customHeight="1">
      <c r="B88" s="64"/>
      <c r="D88" s="356"/>
      <c r="E88" s="356"/>
      <c r="F88" s="352"/>
      <c r="G88" s="352"/>
      <c r="H88" s="352"/>
      <c r="I88" s="352"/>
      <c r="J88" s="352"/>
      <c r="K88" s="357"/>
      <c r="L88" s="242"/>
      <c r="M88" s="242"/>
    </row>
    <row r="89" spans="2:13" ht="15" customHeight="1">
      <c r="B89" s="64"/>
      <c r="D89" s="65"/>
      <c r="E89" s="65"/>
      <c r="F89" s="14"/>
      <c r="K89" s="63"/>
      <c r="L89" s="242"/>
      <c r="M89" s="242"/>
    </row>
    <row r="90" spans="2:13" ht="15" customHeight="1">
      <c r="B90" s="64"/>
      <c r="D90" s="65"/>
      <c r="E90" s="65"/>
      <c r="F90" s="14"/>
      <c r="K90" s="63"/>
      <c r="L90" s="242"/>
      <c r="M90" s="242"/>
    </row>
    <row r="91" spans="2:13" ht="15" customHeight="1">
      <c r="B91" s="64"/>
      <c r="D91" s="65"/>
      <c r="E91" s="65"/>
      <c r="F91" s="14"/>
      <c r="K91" s="63"/>
      <c r="L91" s="242"/>
      <c r="M91" s="242"/>
    </row>
    <row r="92" spans="2:13" ht="15" customHeight="1">
      <c r="B92" s="64"/>
      <c r="D92" s="65"/>
      <c r="E92" s="65"/>
      <c r="F92" s="14"/>
      <c r="K92" s="63"/>
      <c r="L92" s="242"/>
      <c r="M92" s="242"/>
    </row>
    <row r="93" spans="2:13" ht="15" customHeight="1">
      <c r="B93" s="64"/>
      <c r="D93" s="65"/>
      <c r="E93" s="65"/>
      <c r="F93" s="14"/>
      <c r="K93" s="63"/>
      <c r="L93" s="242"/>
      <c r="M93" s="242"/>
    </row>
    <row r="94" spans="2:13" ht="15" customHeight="1">
      <c r="B94" s="64"/>
      <c r="D94" s="65"/>
      <c r="E94" s="65"/>
      <c r="F94" s="14"/>
      <c r="K94" s="63"/>
      <c r="L94" s="242"/>
      <c r="M94" s="242"/>
    </row>
    <row r="95" spans="2:13" ht="15" customHeight="1">
      <c r="B95" s="64"/>
      <c r="D95" s="65"/>
      <c r="E95" s="65"/>
      <c r="F95" s="14"/>
      <c r="K95" s="63"/>
      <c r="L95" s="242"/>
      <c r="M95" s="242"/>
    </row>
    <row r="96" spans="2:13" ht="15" customHeight="1">
      <c r="B96" s="64"/>
      <c r="D96" s="65"/>
      <c r="E96" s="65"/>
      <c r="F96" s="14"/>
      <c r="K96" s="63"/>
      <c r="L96" s="242"/>
      <c r="M96" s="242"/>
    </row>
    <row r="97" spans="2:13" ht="15" customHeight="1">
      <c r="B97" s="64"/>
      <c r="D97" s="65"/>
      <c r="E97" s="65"/>
      <c r="F97" s="14"/>
      <c r="K97" s="63"/>
      <c r="L97" s="242"/>
      <c r="M97" s="242"/>
    </row>
    <row r="98" spans="2:13" ht="15" customHeight="1">
      <c r="B98" s="64"/>
      <c r="D98" s="65"/>
      <c r="E98" s="65"/>
      <c r="F98" s="14"/>
      <c r="K98" s="63"/>
      <c r="L98" s="242"/>
      <c r="M98" s="242"/>
    </row>
    <row r="99" spans="2:13" ht="15" customHeight="1">
      <c r="B99" s="64"/>
      <c r="D99" s="65"/>
      <c r="E99" s="65"/>
      <c r="F99" s="14"/>
      <c r="K99" s="63"/>
      <c r="L99" s="242"/>
      <c r="M99" s="242"/>
    </row>
    <row r="100" spans="2:13" ht="15" customHeight="1">
      <c r="B100" s="64"/>
      <c r="D100" s="65"/>
      <c r="E100" s="65"/>
      <c r="F100" s="14"/>
      <c r="K100" s="63"/>
      <c r="L100" s="242"/>
      <c r="M100" s="242"/>
    </row>
    <row r="101" spans="4:6" ht="15" customHeight="1">
      <c r="D101" s="65"/>
      <c r="E101" s="65"/>
      <c r="F101" s="14"/>
    </row>
    <row r="102" spans="4:6" ht="15" customHeight="1">
      <c r="D102" s="66">
        <f>IF(D104&gt;D103,"descargue la versión para el año 2023","")</f>
      </c>
      <c r="E102" s="66"/>
      <c r="F102" s="14"/>
    </row>
    <row r="103" spans="4:11" ht="15" customHeight="1">
      <c r="D103" s="67">
        <v>45322</v>
      </c>
      <c r="E103" s="67"/>
      <c r="F103" s="67"/>
      <c r="G103" s="68"/>
      <c r="H103" s="68"/>
      <c r="I103" s="68"/>
      <c r="J103" s="69"/>
      <c r="K103" s="69"/>
    </row>
    <row r="104" spans="1:6" ht="15" customHeight="1">
      <c r="A104" s="8" t="s">
        <v>140</v>
      </c>
      <c r="D104" s="67">
        <f ca="1">+TODAY()</f>
        <v>44966</v>
      </c>
      <c r="E104" s="67"/>
      <c r="F104" s="67"/>
    </row>
    <row r="105" spans="1:6" ht="15" customHeight="1">
      <c r="A105" s="8" t="s">
        <v>141</v>
      </c>
      <c r="B105" s="191" t="s">
        <v>162</v>
      </c>
      <c r="D105" s="70">
        <f>IF(D102="","","1")</f>
      </c>
      <c r="E105" s="70"/>
      <c r="F105" s="70"/>
    </row>
    <row r="106" ht="15" customHeight="1">
      <c r="B106" s="191" t="s">
        <v>163</v>
      </c>
    </row>
    <row r="107" spans="2:6" ht="12">
      <c r="B107" s="191"/>
      <c r="D107" s="71"/>
      <c r="E107" s="71"/>
      <c r="F107" s="71"/>
    </row>
    <row r="108" ht="12">
      <c r="B108" s="191"/>
    </row>
    <row r="109" spans="2:4" ht="12">
      <c r="B109" s="191"/>
      <c r="D109" s="10" t="s">
        <v>14</v>
      </c>
    </row>
    <row r="110" spans="2:10" ht="12">
      <c r="B110" s="191"/>
      <c r="D110" s="8"/>
      <c r="E110" s="8"/>
      <c r="F110" s="8"/>
      <c r="G110" s="72"/>
      <c r="H110" s="72"/>
      <c r="I110" s="72"/>
      <c r="J110" s="9"/>
    </row>
    <row r="111" spans="2:10" ht="12">
      <c r="B111" s="191"/>
      <c r="D111" s="8" t="s">
        <v>9</v>
      </c>
      <c r="E111" s="8"/>
      <c r="F111" s="8"/>
      <c r="G111" s="72"/>
      <c r="H111" s="72"/>
      <c r="I111" s="72"/>
      <c r="J111" s="9"/>
    </row>
    <row r="112" spans="2:10" ht="12">
      <c r="B112" s="191"/>
      <c r="D112" s="8"/>
      <c r="E112" s="8"/>
      <c r="F112" s="8"/>
      <c r="G112" s="72"/>
      <c r="H112" s="72"/>
      <c r="I112" s="72"/>
      <c r="J112" s="9"/>
    </row>
    <row r="113" spans="2:10" ht="12">
      <c r="B113" s="191"/>
      <c r="D113" s="8"/>
      <c r="E113" s="8"/>
      <c r="F113" s="8"/>
      <c r="G113" s="72"/>
      <c r="H113" s="72"/>
      <c r="I113" s="72"/>
      <c r="J113" s="9"/>
    </row>
    <row r="114" spans="2:10" ht="12">
      <c r="B114" s="191"/>
      <c r="D114" s="8"/>
      <c r="E114" s="8"/>
      <c r="F114" s="8"/>
      <c r="G114" s="72"/>
      <c r="H114" s="72"/>
      <c r="I114" s="72"/>
      <c r="J114" s="9"/>
    </row>
    <row r="115" spans="2:10" ht="12">
      <c r="B115" s="191"/>
      <c r="D115" s="8"/>
      <c r="E115" s="8"/>
      <c r="F115" s="8"/>
      <c r="G115" s="72"/>
      <c r="H115" s="72"/>
      <c r="I115" s="72"/>
      <c r="J115" s="9"/>
    </row>
    <row r="116" spans="2:10" ht="12">
      <c r="B116" s="191"/>
      <c r="D116" s="8"/>
      <c r="E116" s="8"/>
      <c r="F116" s="8"/>
      <c r="G116" s="72"/>
      <c r="H116" s="72"/>
      <c r="I116" s="72"/>
      <c r="J116" s="9"/>
    </row>
    <row r="117" spans="4:10" ht="12">
      <c r="D117" s="8" t="s">
        <v>14</v>
      </c>
      <c r="E117" s="8"/>
      <c r="F117" s="8"/>
      <c r="G117" s="72"/>
      <c r="H117" s="72"/>
      <c r="I117" s="72"/>
      <c r="J117" s="9"/>
    </row>
    <row r="124" spans="4:10" ht="12.75" customHeight="1">
      <c r="D124" s="71"/>
      <c r="E124" s="71"/>
      <c r="F124" s="71"/>
      <c r="G124" s="73"/>
      <c r="H124" s="73"/>
      <c r="I124" s="73"/>
      <c r="J124" s="71"/>
    </row>
    <row r="125" spans="4:10" ht="12">
      <c r="D125" s="71"/>
      <c r="E125" s="71"/>
      <c r="F125" s="71"/>
      <c r="G125" s="73"/>
      <c r="H125" s="73"/>
      <c r="I125" s="73"/>
      <c r="J125" s="71"/>
    </row>
    <row r="126" spans="7:10" ht="12">
      <c r="G126" s="73"/>
      <c r="H126" s="73"/>
      <c r="I126" s="73"/>
      <c r="J126" s="71"/>
    </row>
    <row r="127" spans="4:10" ht="12">
      <c r="D127" s="71"/>
      <c r="E127" s="71"/>
      <c r="F127" s="71"/>
      <c r="G127" s="73"/>
      <c r="H127" s="73"/>
      <c r="I127" s="73"/>
      <c r="J127" s="71"/>
    </row>
  </sheetData>
  <sheetProtection password="CAE7" sheet="1" formatCells="0" formatColumns="0" formatRows="0"/>
  <mergeCells count="45">
    <mergeCell ref="J12:K12"/>
    <mergeCell ref="D40:E40"/>
    <mergeCell ref="D41:E41"/>
    <mergeCell ref="D42:E42"/>
    <mergeCell ref="D62:E63"/>
    <mergeCell ref="D52:E52"/>
    <mergeCell ref="D55:E55"/>
    <mergeCell ref="D33:E33"/>
    <mergeCell ref="D35:E35"/>
    <mergeCell ref="D38:E38"/>
    <mergeCell ref="K47:K49"/>
    <mergeCell ref="D61:E61"/>
    <mergeCell ref="L78:M80"/>
    <mergeCell ref="D54:E54"/>
    <mergeCell ref="D64:E64"/>
    <mergeCell ref="D50:E50"/>
    <mergeCell ref="D51:E51"/>
    <mergeCell ref="D60:E60"/>
    <mergeCell ref="J62:J63"/>
    <mergeCell ref="D47:E47"/>
    <mergeCell ref="D22:E22"/>
    <mergeCell ref="D23:E23"/>
    <mergeCell ref="D24:E24"/>
    <mergeCell ref="D25:E25"/>
    <mergeCell ref="D26:E26"/>
    <mergeCell ref="D27:E27"/>
    <mergeCell ref="D48:E48"/>
    <mergeCell ref="D49:E49"/>
    <mergeCell ref="D28:E28"/>
    <mergeCell ref="D29:E29"/>
    <mergeCell ref="D30:E30"/>
    <mergeCell ref="D32:E32"/>
    <mergeCell ref="D31:E31"/>
    <mergeCell ref="D34:E34"/>
    <mergeCell ref="D39:E39"/>
    <mergeCell ref="M8:O13"/>
    <mergeCell ref="G47:G49"/>
    <mergeCell ref="F62:F63"/>
    <mergeCell ref="B11:D11"/>
    <mergeCell ref="B12:D12"/>
    <mergeCell ref="B13:D13"/>
    <mergeCell ref="J47:J49"/>
    <mergeCell ref="D53:E53"/>
    <mergeCell ref="B14:D14"/>
    <mergeCell ref="B15:D15"/>
  </mergeCells>
  <conditionalFormatting sqref="D103:F105">
    <cfRule type="cellIs" priority="1" dxfId="1" operator="equal" stopIfTrue="1">
      <formula>"POR ESTE PERIODO NO SE DEBE PRACTICAR RETEFUENTE"</formula>
    </cfRule>
  </conditionalFormatting>
  <dataValidations count="14">
    <dataValidation type="whole" allowBlank="1" showInputMessage="1" showErrorMessage="1" prompt="Digite el numero de meses que lleva trabajando el empleado. El número debe estar entre 1 y 12.  Si lleva mas de un año, digite 12." errorTitle="Error numero" error="Numero debe estar entre 1 y 12" sqref="E14">
      <formula1>1</formula1>
      <formula2>12</formula2>
    </dataValidation>
    <dataValidation allowBlank="1" showInputMessage="1" showErrorMessage="1" prompt="Recuerde que estos pagos que efectue el empleador por concepto de alimentación  del trabajador  o de su conyugue co compañero (a) permanente, sus hijos o su padres son ingresos no constitutivos de renta" sqref="F55:I55"/>
    <dataValidation type="whole" operator="greaterThan" allowBlank="1" showInputMessage="1" showErrorMessage="1" prompt="Incluya los ingresos no constitutivos de renta de acuerdo al periodo del cálculo" sqref="F38:F41">
      <formula1>-1</formula1>
    </dataValidation>
    <dataValidation allowBlank="1" showInputMessage="1" showErrorMessage="1" prompt="Digite la totalidad de los ingresos recibidos en el año anterior" sqref="K9"/>
    <dataValidation type="list" allowBlank="1" showInputMessage="1" showErrorMessage="1" prompt="Seleccione  el mes del cálculo del porcentaje fijo.&#10;En el procedimiento 2 se realizan dos cálculo del % fijo, en Diciembre, para junio descargue el archivo que se publica para ese fin." sqref="E15">
      <formula1>$B$105:$B$105</formula1>
    </dataValidation>
    <dataValidation type="decimal" operator="greaterThan" allowBlank="1" showInputMessage="1" showErrorMessage="1" promptTitle="Incluya" prompt="Pagos directos o indirectos, en dinero o en especie&#10;Sean o no factor salarial de los 12 meses anteriores  al mes del cálculo&#10;&#10;Recuerde que en este procedimiento la prima legal si se incluye como parte de los ingresos devengados.&#10;" sqref="F34 F22:F31">
      <formula1>-1</formula1>
    </dataValidation>
    <dataValidation allowBlank="1" showInputMessage="1" showErrorMessage="1" promptTitle="Incluya" prompt="Pagos directos o indirectos&#10;En dinero o en especie&#10;Sean o no factor salarial&#10;Art. 127 y 128 del CST&#10;&#10;Recuerde que en este procedimiento la prima legal si se incluye como parte de los ingresos devengados por el trabajador &#10;" sqref="D22:D34"/>
    <dataValidation allowBlank="1" showInputMessage="1" showErrorMessage="1" prompt="Este rubro no hace parte de la depuración del procedimiento, por tanto se deja la descripción para que no se cometa el error de digitarlo en otra casilla." sqref="F32:F33"/>
    <dataValidation type="decimal" operator="greaterThan" allowBlank="1" showInputMessage="1" showErrorMessage="1" sqref="F50:F54">
      <formula1>-1</formula1>
    </dataValidation>
    <dataValidation allowBlank="1" showInputMessage="1" showErrorMessage="1" prompt="Limite 2  5.040 UVT anual&#10;" sqref="H70"/>
    <dataValidation allowBlank="1" showInputMessage="1" showErrorMessage="1" prompt="Limite 1  40% del ingreso neto" sqref="G70"/>
    <dataValidation allowBlank="1" showInputMessage="1" showErrorMessage="1" prompt="Cálculo en diciembre de 2021: Tome las cifras de diciembre de 2020 hasta noviembre de 2021.&#10;Cálculo en Junio de 2022: Tome las cifras de junio de 2021 a mayo de 2022" sqref="F17"/>
    <dataValidation type="list" allowBlank="1" showInputMessage="1" showErrorMessage="1" prompt="Digite o seleccione de la lista: SI  ó NO  tiene derecho a dependientes" sqref="F62:F63">
      <formula1>$A$104:$A$105</formula1>
    </dataValidation>
    <dataValidation allowBlank="1" showInputMessage="1" showErrorMessage="1" prompt="De acuerdo al certificado que se tenga disponible a la fecha del cálculo del % fijo. " sqref="F60:F61"/>
  </dataValidations>
  <printOptions/>
  <pageMargins left="0.1968503937007874" right="0.1968503937007874" top="0.3937007874015748" bottom="0.3937007874015748" header="0" footer="0"/>
  <pageSetup horizontalDpi="600" verticalDpi="600" orientation="landscape" r:id="rId4"/>
  <ignoredErrors>
    <ignoredError sqref="G53"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Hoja7"/>
  <dimension ref="A2:IV270"/>
  <sheetViews>
    <sheetView showGridLines="0" defaultGridColor="0" zoomScale="83" zoomScaleNormal="83" zoomScalePageLayoutView="0" colorId="23" workbookViewId="0" topLeftCell="A1">
      <pane ySplit="6" topLeftCell="A7" activePane="bottomLeft" state="frozen"/>
      <selection pane="topLeft" activeCell="A1" sqref="A1"/>
      <selection pane="bottomLeft" activeCell="L42" sqref="L42"/>
    </sheetView>
  </sheetViews>
  <sheetFormatPr defaultColWidth="0" defaultRowHeight="12.75" outlineLevelCol="1"/>
  <cols>
    <col min="1" max="1" width="1.421875" style="134" customWidth="1"/>
    <col min="2" max="2" width="4.00390625" style="134" customWidth="1"/>
    <col min="3" max="3" width="1.421875" style="134" customWidth="1"/>
    <col min="4" max="4" width="76.421875" style="134" customWidth="1"/>
    <col min="5" max="5" width="16.421875" style="14" customWidth="1"/>
    <col min="6" max="6" width="35.140625" style="14" customWidth="1" outlineLevel="1"/>
    <col min="7" max="7" width="13.8515625" style="135" hidden="1" customWidth="1" outlineLevel="1"/>
    <col min="8" max="8" width="15.00390625" style="135" hidden="1" customWidth="1" outlineLevel="1"/>
    <col min="9" max="9" width="23.00390625" style="14" customWidth="1"/>
    <col min="10" max="10" width="14.28125" style="14" bestFit="1" customWidth="1"/>
    <col min="11" max="11" width="17.140625" style="14" customWidth="1"/>
    <col min="12" max="13" width="11.421875" style="14" customWidth="1"/>
    <col min="14" max="14" width="11.421875" style="134" customWidth="1"/>
    <col min="15" max="16384" width="0" style="134" hidden="1" customWidth="1"/>
  </cols>
  <sheetData>
    <row r="1" ht="5.25" customHeight="1"/>
    <row r="2" spans="2:14" ht="8.25" customHeight="1">
      <c r="B2" s="249"/>
      <c r="C2" s="249"/>
      <c r="D2" s="249"/>
      <c r="E2" s="208"/>
      <c r="F2" s="208"/>
      <c r="G2" s="250"/>
      <c r="H2" s="250"/>
      <c r="I2" s="208"/>
      <c r="J2" s="211"/>
      <c r="K2" s="211"/>
      <c r="L2" s="294"/>
      <c r="M2" s="294"/>
      <c r="N2" s="294"/>
    </row>
    <row r="3" spans="2:14" ht="18" customHeight="1">
      <c r="B3" s="253"/>
      <c r="C3" s="253"/>
      <c r="D3" s="252"/>
      <c r="E3" s="218" t="s">
        <v>93</v>
      </c>
      <c r="F3" s="254"/>
      <c r="G3" s="254"/>
      <c r="H3" s="254"/>
      <c r="I3" s="254"/>
      <c r="J3" s="254"/>
      <c r="K3" s="292" t="s">
        <v>132</v>
      </c>
      <c r="L3" s="295"/>
      <c r="M3" s="294"/>
      <c r="N3" s="294"/>
    </row>
    <row r="4" spans="2:14" ht="6.75" customHeight="1">
      <c r="B4" s="249"/>
      <c r="C4" s="249"/>
      <c r="D4" s="210"/>
      <c r="E4" s="210"/>
      <c r="F4" s="254"/>
      <c r="G4" s="254"/>
      <c r="H4" s="254"/>
      <c r="I4" s="254"/>
      <c r="J4" s="254"/>
      <c r="K4" s="254"/>
      <c r="L4" s="295"/>
      <c r="M4" s="294"/>
      <c r="N4" s="294"/>
    </row>
    <row r="5" spans="2:14" ht="27" customHeight="1">
      <c r="B5" s="249"/>
      <c r="C5" s="249"/>
      <c r="D5" s="215"/>
      <c r="E5" s="351" t="s">
        <v>164</v>
      </c>
      <c r="F5" s="254"/>
      <c r="G5" s="254"/>
      <c r="H5" s="254"/>
      <c r="I5" s="254"/>
      <c r="J5" s="254"/>
      <c r="K5" s="254"/>
      <c r="L5" s="295"/>
      <c r="M5" s="294"/>
      <c r="N5" s="294"/>
    </row>
    <row r="6" spans="2:14" ht="6" customHeight="1">
      <c r="B6" s="249"/>
      <c r="C6" s="249"/>
      <c r="D6" s="249"/>
      <c r="E6" s="251"/>
      <c r="F6" s="208"/>
      <c r="G6" s="250"/>
      <c r="H6" s="250"/>
      <c r="I6" s="208"/>
      <c r="J6" s="211"/>
      <c r="K6" s="211"/>
      <c r="L6" s="294"/>
      <c r="M6" s="294"/>
      <c r="N6" s="294"/>
    </row>
    <row r="7" ht="12.75"/>
    <row r="8" spans="2:14" ht="18">
      <c r="B8" s="219" t="s">
        <v>123</v>
      </c>
      <c r="C8" s="205"/>
      <c r="D8" s="205"/>
      <c r="E8" s="205"/>
      <c r="F8" s="205"/>
      <c r="I8" s="136" t="s">
        <v>68</v>
      </c>
      <c r="K8" s="410"/>
      <c r="L8" s="410"/>
      <c r="M8" s="410"/>
      <c r="N8" s="410"/>
    </row>
    <row r="9" spans="5:14" ht="15" customHeight="1">
      <c r="E9" s="134"/>
      <c r="F9" s="9" t="s">
        <v>69</v>
      </c>
      <c r="I9" s="137"/>
      <c r="K9" s="410"/>
      <c r="L9" s="410"/>
      <c r="M9" s="410"/>
      <c r="N9" s="410"/>
    </row>
    <row r="10" spans="11:14" ht="13.5" thickBot="1">
      <c r="K10" s="410"/>
      <c r="L10" s="410"/>
      <c r="M10" s="410"/>
      <c r="N10" s="410"/>
    </row>
    <row r="11" spans="4:14" ht="16.5" customHeight="1" thickBot="1">
      <c r="D11" s="319" t="str">
        <f>+'% Retencion fija'!$E$11</f>
        <v>EMPRESA DE EJEMPLO</v>
      </c>
      <c r="E11" s="134"/>
      <c r="F11" s="312" t="s">
        <v>134</v>
      </c>
      <c r="I11" s="364" t="s">
        <v>165</v>
      </c>
      <c r="K11" s="410"/>
      <c r="L11" s="410"/>
      <c r="M11" s="410"/>
      <c r="N11" s="410"/>
    </row>
    <row r="12" spans="4:14" ht="12.75">
      <c r="D12" s="318">
        <f>+'% Retencion fija'!$E$13</f>
        <v>0</v>
      </c>
      <c r="I12" s="9" t="str">
        <f>LEFT(I11,6)</f>
        <v> Enero</v>
      </c>
      <c r="K12" s="410"/>
      <c r="L12" s="410"/>
      <c r="M12" s="410"/>
      <c r="N12" s="410"/>
    </row>
    <row r="13" spans="4:14" ht="15" customHeight="1">
      <c r="D13" s="256"/>
      <c r="E13" s="134"/>
      <c r="F13" s="138" t="s">
        <v>8</v>
      </c>
      <c r="G13" s="139"/>
      <c r="H13" s="139"/>
      <c r="I13" s="311" t="s">
        <v>29</v>
      </c>
      <c r="K13" s="410"/>
      <c r="L13" s="410"/>
      <c r="M13" s="410"/>
      <c r="N13" s="410"/>
    </row>
    <row r="14" spans="1:9" ht="12.75">
      <c r="A14" s="140"/>
      <c r="D14" s="203"/>
      <c r="E14" s="134"/>
      <c r="F14" s="255" t="s">
        <v>156</v>
      </c>
      <c r="I14" s="361">
        <v>42412</v>
      </c>
    </row>
    <row r="15" spans="5:9" ht="12.75">
      <c r="E15" s="234"/>
      <c r="I15" s="224"/>
    </row>
    <row r="16" ht="13.5" thickBot="1">
      <c r="D16" s="313">
        <f>IF(D94=1,"Aplicativo vencido, visite www.consultorcontable.com y descargue la versión actualizada","")</f>
      </c>
    </row>
    <row r="17" spans="2:9" ht="15.75" thickBot="1">
      <c r="B17" s="141"/>
      <c r="C17" s="142"/>
      <c r="D17" s="143" t="s">
        <v>19</v>
      </c>
      <c r="E17" s="74" t="s">
        <v>30</v>
      </c>
      <c r="F17" s="23" t="s">
        <v>21</v>
      </c>
      <c r="G17" s="411" t="s">
        <v>70</v>
      </c>
      <c r="H17" s="412"/>
      <c r="I17" s="23" t="s">
        <v>22</v>
      </c>
    </row>
    <row r="18" spans="4:12" ht="13.5" thickBot="1">
      <c r="D18" s="144"/>
      <c r="E18" s="25"/>
      <c r="F18" s="25"/>
      <c r="G18" s="145"/>
      <c r="H18" s="145"/>
      <c r="I18" s="25"/>
      <c r="L18" s="14" t="s">
        <v>14</v>
      </c>
    </row>
    <row r="19" spans="2:4" ht="14.25" customHeight="1" thickBot="1">
      <c r="B19" s="146">
        <v>1</v>
      </c>
      <c r="C19" s="147"/>
      <c r="D19" s="148" t="s">
        <v>31</v>
      </c>
    </row>
    <row r="20" spans="4:9" ht="12.75" customHeight="1">
      <c r="D20" s="227" t="s">
        <v>71</v>
      </c>
      <c r="E20" s="15">
        <v>0</v>
      </c>
      <c r="F20" s="296"/>
      <c r="G20" s="315"/>
      <c r="H20" s="315"/>
      <c r="I20" s="31">
        <f>+E20</f>
        <v>0</v>
      </c>
    </row>
    <row r="21" spans="4:9" ht="12.75" customHeight="1">
      <c r="D21" s="227" t="s">
        <v>18</v>
      </c>
      <c r="E21" s="15">
        <v>0</v>
      </c>
      <c r="F21" s="296"/>
      <c r="G21" s="315"/>
      <c r="H21" s="315"/>
      <c r="I21" s="31">
        <f aca="true" t="shared" si="0" ref="I21:I37">+E21</f>
        <v>0</v>
      </c>
    </row>
    <row r="22" spans="4:9" ht="12.75" customHeight="1">
      <c r="D22" s="227" t="s">
        <v>17</v>
      </c>
      <c r="E22" s="15">
        <v>0</v>
      </c>
      <c r="F22" s="296"/>
      <c r="G22" s="315"/>
      <c r="H22" s="315"/>
      <c r="I22" s="31">
        <f t="shared" si="0"/>
        <v>0</v>
      </c>
    </row>
    <row r="23" spans="4:9" ht="12.75" customHeight="1">
      <c r="D23" s="227" t="s">
        <v>16</v>
      </c>
      <c r="E23" s="15">
        <v>0</v>
      </c>
      <c r="F23" s="296"/>
      <c r="G23" s="315"/>
      <c r="H23" s="315"/>
      <c r="I23" s="31">
        <f t="shared" si="0"/>
        <v>0</v>
      </c>
    </row>
    <row r="24" spans="4:9" ht="12.75" customHeight="1">
      <c r="D24" s="227" t="s">
        <v>72</v>
      </c>
      <c r="E24" s="15">
        <v>0</v>
      </c>
      <c r="F24" s="296"/>
      <c r="G24" s="315"/>
      <c r="H24" s="315"/>
      <c r="I24" s="31">
        <f t="shared" si="0"/>
        <v>0</v>
      </c>
    </row>
    <row r="25" spans="4:9" ht="12.75" customHeight="1">
      <c r="D25" s="227" t="s">
        <v>73</v>
      </c>
      <c r="E25" s="15">
        <v>0</v>
      </c>
      <c r="F25" s="296"/>
      <c r="G25" s="315"/>
      <c r="H25" s="315"/>
      <c r="I25" s="31">
        <f t="shared" si="0"/>
        <v>0</v>
      </c>
    </row>
    <row r="26" spans="4:9" ht="12.75" customHeight="1">
      <c r="D26" s="227" t="s">
        <v>33</v>
      </c>
      <c r="E26" s="15">
        <v>0</v>
      </c>
      <c r="F26" s="296"/>
      <c r="G26" s="315"/>
      <c r="H26" s="315"/>
      <c r="I26" s="31">
        <f t="shared" si="0"/>
        <v>0</v>
      </c>
    </row>
    <row r="27" spans="4:9" ht="12.75" customHeight="1" hidden="1">
      <c r="D27" s="227"/>
      <c r="E27" s="15">
        <v>0</v>
      </c>
      <c r="F27" s="296"/>
      <c r="G27" s="315"/>
      <c r="H27" s="315"/>
      <c r="I27" s="31">
        <f t="shared" si="0"/>
        <v>0</v>
      </c>
    </row>
    <row r="28" spans="4:9" ht="12.75" customHeight="1">
      <c r="D28" s="227" t="s">
        <v>46</v>
      </c>
      <c r="E28" s="15">
        <v>0</v>
      </c>
      <c r="F28" s="296"/>
      <c r="G28" s="315"/>
      <c r="H28" s="315"/>
      <c r="I28" s="31">
        <f t="shared" si="0"/>
        <v>0</v>
      </c>
    </row>
    <row r="29" spans="4:9" ht="12.75" customHeight="1" hidden="1">
      <c r="D29" s="227"/>
      <c r="E29" s="15">
        <v>0</v>
      </c>
      <c r="F29" s="296"/>
      <c r="G29" s="315"/>
      <c r="H29" s="315"/>
      <c r="I29" s="31">
        <f t="shared" si="0"/>
        <v>0</v>
      </c>
    </row>
    <row r="30" spans="4:9" ht="12.75" customHeight="1">
      <c r="D30" s="227" t="s">
        <v>74</v>
      </c>
      <c r="E30" s="15">
        <v>0</v>
      </c>
      <c r="F30" s="296"/>
      <c r="G30" s="315"/>
      <c r="H30" s="315"/>
      <c r="I30" s="31">
        <f t="shared" si="0"/>
        <v>0</v>
      </c>
    </row>
    <row r="31" spans="4:10" ht="12.75" customHeight="1">
      <c r="D31" s="227" t="s">
        <v>135</v>
      </c>
      <c r="E31" s="15">
        <v>0</v>
      </c>
      <c r="F31" s="296" t="s">
        <v>14</v>
      </c>
      <c r="G31" s="315"/>
      <c r="H31" s="315"/>
      <c r="I31" s="31">
        <f t="shared" si="0"/>
        <v>0</v>
      </c>
      <c r="J31" s="14">
        <f>+IF((E31&lt;1),"","Debe diligenciar el salario de los ultimos seis meses en cesantias")</f>
      </c>
    </row>
    <row r="32" spans="4:10" ht="12.75" customHeight="1">
      <c r="D32" s="227" t="s">
        <v>136</v>
      </c>
      <c r="E32" s="166"/>
      <c r="F32" s="296" t="s">
        <v>14</v>
      </c>
      <c r="G32" s="315"/>
      <c r="H32" s="315"/>
      <c r="I32" s="31"/>
      <c r="J32" s="14">
        <f>+IF((E32&lt;1),"","Debe diligenciar el salario de los ultimos seis meses en cesantias")</f>
      </c>
    </row>
    <row r="33" spans="4:9" ht="12.75" customHeight="1">
      <c r="D33" s="149" t="s">
        <v>137</v>
      </c>
      <c r="E33" s="166"/>
      <c r="F33" s="296"/>
      <c r="G33" s="315"/>
      <c r="H33" s="315"/>
      <c r="I33" s="31"/>
    </row>
    <row r="34" spans="4:9" ht="12.75" customHeight="1">
      <c r="D34" s="149" t="s">
        <v>75</v>
      </c>
      <c r="E34" s="15">
        <v>0</v>
      </c>
      <c r="F34" s="296"/>
      <c r="G34" s="315"/>
      <c r="H34" s="315"/>
      <c r="I34" s="31">
        <f t="shared" si="0"/>
        <v>0</v>
      </c>
    </row>
    <row r="35" spans="4:9" ht="12.75" customHeight="1">
      <c r="D35" s="149" t="s">
        <v>15</v>
      </c>
      <c r="E35" s="15">
        <v>0</v>
      </c>
      <c r="F35" s="296"/>
      <c r="G35" s="315"/>
      <c r="H35" s="315"/>
      <c r="I35" s="31">
        <f t="shared" si="0"/>
        <v>0</v>
      </c>
    </row>
    <row r="36" spans="4:9" ht="12.75" customHeight="1">
      <c r="D36" s="149" t="s">
        <v>76</v>
      </c>
      <c r="E36" s="15"/>
      <c r="F36" s="296"/>
      <c r="G36" s="315"/>
      <c r="H36" s="315"/>
      <c r="I36" s="31">
        <f t="shared" si="0"/>
        <v>0</v>
      </c>
    </row>
    <row r="37" spans="4:9" ht="12.75" customHeight="1">
      <c r="D37" s="149" t="s">
        <v>138</v>
      </c>
      <c r="E37" s="15"/>
      <c r="F37" s="296"/>
      <c r="G37" s="315"/>
      <c r="H37" s="315"/>
      <c r="I37" s="31">
        <f t="shared" si="0"/>
        <v>0</v>
      </c>
    </row>
    <row r="38" spans="2:9" ht="12.75" customHeight="1">
      <c r="B38" s="150"/>
      <c r="D38" s="151" t="s">
        <v>77</v>
      </c>
      <c r="E38" s="33">
        <f>SUM(E20:E37)</f>
        <v>0</v>
      </c>
      <c r="F38" s="35"/>
      <c r="G38" s="152"/>
      <c r="H38" s="152"/>
      <c r="I38" s="33">
        <f>SUM(I20:I37)</f>
        <v>0</v>
      </c>
    </row>
    <row r="39" spans="2:9" ht="13.5" thickBot="1">
      <c r="B39" s="150"/>
      <c r="F39" s="36"/>
      <c r="G39" s="153"/>
      <c r="H39" s="153"/>
      <c r="I39" s="14" t="s">
        <v>14</v>
      </c>
    </row>
    <row r="40" spans="2:13" s="159" customFormat="1" ht="16.5" thickBot="1">
      <c r="B40" s="146">
        <v>2</v>
      </c>
      <c r="D40" s="322" t="s">
        <v>139</v>
      </c>
      <c r="E40" s="160"/>
      <c r="F40" s="160"/>
      <c r="G40" s="161"/>
      <c r="H40" s="161"/>
      <c r="I40" s="162"/>
      <c r="J40" s="51"/>
      <c r="K40" s="51"/>
      <c r="L40" s="51"/>
      <c r="M40" s="51"/>
    </row>
    <row r="41" spans="2:13" s="159" customFormat="1" ht="12.75">
      <c r="B41" s="158"/>
      <c r="D41" s="227" t="s">
        <v>88</v>
      </c>
      <c r="E41" s="15"/>
      <c r="F41" s="296"/>
      <c r="G41" s="315"/>
      <c r="H41" s="315"/>
      <c r="I41" s="31">
        <f>+E41</f>
        <v>0</v>
      </c>
      <c r="J41" s="51"/>
      <c r="K41" s="51"/>
      <c r="L41" s="51"/>
      <c r="M41" s="51"/>
    </row>
    <row r="42" spans="2:13" s="159" customFormat="1" ht="12.75">
      <c r="B42" s="158"/>
      <c r="D42" s="227" t="s">
        <v>50</v>
      </c>
      <c r="E42" s="15"/>
      <c r="F42" s="296"/>
      <c r="G42" s="315"/>
      <c r="H42" s="315"/>
      <c r="I42" s="31">
        <f>+E42</f>
        <v>0</v>
      </c>
      <c r="J42" s="51"/>
      <c r="K42" s="51"/>
      <c r="L42" s="51"/>
      <c r="M42" s="51"/>
    </row>
    <row r="43" spans="2:13" s="159" customFormat="1" ht="22.5">
      <c r="B43" s="158"/>
      <c r="D43" s="227" t="s">
        <v>101</v>
      </c>
      <c r="E43" s="15"/>
      <c r="F43" s="200" t="s">
        <v>98</v>
      </c>
      <c r="G43" s="30">
        <f>+I38*0.25</f>
        <v>0</v>
      </c>
      <c r="H43" s="30">
        <f>(2500/J43*I14)</f>
        <v>8835833.333333334</v>
      </c>
      <c r="I43" s="31">
        <f>MIN(K43,G43,H43)</f>
        <v>0</v>
      </c>
      <c r="J43" s="15">
        <v>12</v>
      </c>
      <c r="K43" s="358">
        <f>+E43</f>
        <v>0</v>
      </c>
      <c r="L43" s="51"/>
      <c r="M43" s="51"/>
    </row>
    <row r="44" spans="2:13" s="159" customFormat="1" ht="12.75">
      <c r="B44" s="158"/>
      <c r="D44" s="227" t="s">
        <v>89</v>
      </c>
      <c r="E44" s="15"/>
      <c r="F44" s="296"/>
      <c r="G44" s="315"/>
      <c r="H44" s="315"/>
      <c r="I44" s="31">
        <f>+E44</f>
        <v>0</v>
      </c>
      <c r="J44" s="51"/>
      <c r="K44" s="51"/>
      <c r="L44" s="51"/>
      <c r="M44" s="51"/>
    </row>
    <row r="45" spans="2:13" s="159" customFormat="1" ht="12.75">
      <c r="B45" s="158"/>
      <c r="D45" s="228" t="s">
        <v>45</v>
      </c>
      <c r="E45" s="350">
        <f>SUM(E41:E44)</f>
        <v>0</v>
      </c>
      <c r="F45" s="296"/>
      <c r="G45" s="315"/>
      <c r="H45" s="315"/>
      <c r="I45" s="314">
        <f>SUM(I41:I44)</f>
        <v>0</v>
      </c>
      <c r="J45" s="51"/>
      <c r="K45" s="51"/>
      <c r="L45" s="51"/>
      <c r="M45" s="51"/>
    </row>
    <row r="46" spans="2:13" s="159" customFormat="1" ht="12.75">
      <c r="B46" s="158"/>
      <c r="D46" s="160"/>
      <c r="E46" s="160"/>
      <c r="F46" s="160"/>
      <c r="G46" s="161"/>
      <c r="H46" s="161"/>
      <c r="I46" s="162"/>
      <c r="J46" s="51"/>
      <c r="K46" s="51"/>
      <c r="L46" s="51"/>
      <c r="M46" s="51"/>
    </row>
    <row r="47" spans="2:13" s="159" customFormat="1" ht="12.75">
      <c r="B47" s="158"/>
      <c r="D47" s="43" t="s">
        <v>78</v>
      </c>
      <c r="E47" s="320">
        <f>+E38-E45</f>
        <v>0</v>
      </c>
      <c r="F47" s="321"/>
      <c r="G47" s="321"/>
      <c r="H47" s="321"/>
      <c r="I47" s="320">
        <f>+I38-I45</f>
        <v>0</v>
      </c>
      <c r="J47" s="51"/>
      <c r="K47" s="51"/>
      <c r="L47" s="51"/>
      <c r="M47" s="51"/>
    </row>
    <row r="48" spans="2:13" s="159" customFormat="1" ht="13.5" thickBot="1">
      <c r="B48" s="158"/>
      <c r="D48" s="160"/>
      <c r="E48" s="160"/>
      <c r="F48" s="160"/>
      <c r="G48" s="161"/>
      <c r="H48" s="161"/>
      <c r="I48" s="162"/>
      <c r="J48" s="51"/>
      <c r="K48" s="51"/>
      <c r="L48" s="51"/>
      <c r="M48" s="51"/>
    </row>
    <row r="49" spans="2:4" ht="14.25" customHeight="1" thickBot="1">
      <c r="B49" s="146">
        <v>3</v>
      </c>
      <c r="D49" s="163" t="s">
        <v>79</v>
      </c>
    </row>
    <row r="50" spans="2:10" ht="14.25" customHeight="1">
      <c r="B50" s="164"/>
      <c r="D50" s="149" t="s">
        <v>49</v>
      </c>
      <c r="E50" s="15">
        <v>0</v>
      </c>
      <c r="F50" s="375" t="s">
        <v>142</v>
      </c>
      <c r="G50" s="325">
        <f>IF((E50+E51)&lt;(I38*30%),(+E50+E51),(I38*30%))</f>
        <v>0</v>
      </c>
      <c r="H50" s="324">
        <f>I14*(3800/J50)</f>
        <v>13430466.666666668</v>
      </c>
      <c r="I50" s="388">
        <f>MIN(G50:H50)</f>
        <v>0</v>
      </c>
      <c r="J50" s="368">
        <v>12</v>
      </c>
    </row>
    <row r="51" spans="2:9" ht="14.25" customHeight="1">
      <c r="B51" s="164"/>
      <c r="D51" s="165" t="s">
        <v>150</v>
      </c>
      <c r="E51" s="15"/>
      <c r="F51" s="376"/>
      <c r="G51" s="325"/>
      <c r="H51" s="324"/>
      <c r="I51" s="390"/>
    </row>
    <row r="52" spans="2:11" ht="14.25" customHeight="1" hidden="1">
      <c r="B52" s="164"/>
      <c r="D52" s="341"/>
      <c r="E52" s="15">
        <v>0</v>
      </c>
      <c r="F52" s="200"/>
      <c r="G52" s="326"/>
      <c r="H52" s="326"/>
      <c r="I52" s="323">
        <f aca="true" t="shared" si="1" ref="I52:I57">+E52</f>
        <v>0</v>
      </c>
      <c r="K52" s="167"/>
    </row>
    <row r="53" spans="2:9" ht="14.25" customHeight="1">
      <c r="B53" s="164"/>
      <c r="D53" s="149" t="s">
        <v>104</v>
      </c>
      <c r="E53" s="15"/>
      <c r="F53" s="200"/>
      <c r="G53" s="326"/>
      <c r="H53" s="326"/>
      <c r="I53" s="323">
        <f t="shared" si="1"/>
        <v>0</v>
      </c>
    </row>
    <row r="54" spans="2:11" ht="14.25" customHeight="1" hidden="1">
      <c r="B54" s="164"/>
      <c r="D54" s="341"/>
      <c r="E54" s="15">
        <v>0</v>
      </c>
      <c r="F54" s="200"/>
      <c r="G54" s="326"/>
      <c r="H54" s="326"/>
      <c r="I54" s="323">
        <f t="shared" si="1"/>
        <v>0</v>
      </c>
      <c r="K54" s="169" t="s">
        <v>14</v>
      </c>
    </row>
    <row r="55" spans="4:9" ht="12.75" customHeight="1">
      <c r="D55" s="149" t="s">
        <v>105</v>
      </c>
      <c r="E55" s="15"/>
      <c r="F55" s="200"/>
      <c r="G55" s="326"/>
      <c r="H55" s="326"/>
      <c r="I55" s="323">
        <f t="shared" si="1"/>
        <v>0</v>
      </c>
    </row>
    <row r="56" spans="2:9" ht="12.75">
      <c r="B56" s="150"/>
      <c r="D56" s="149" t="s">
        <v>106</v>
      </c>
      <c r="E56" s="15"/>
      <c r="F56" s="200"/>
      <c r="G56" s="326"/>
      <c r="H56" s="326"/>
      <c r="I56" s="323">
        <f t="shared" si="1"/>
        <v>0</v>
      </c>
    </row>
    <row r="57" spans="2:11" ht="12.75">
      <c r="B57" s="150"/>
      <c r="D57" s="149" t="s">
        <v>107</v>
      </c>
      <c r="E57" s="15"/>
      <c r="F57" s="200"/>
      <c r="G57" s="326"/>
      <c r="H57" s="326"/>
      <c r="I57" s="323">
        <f t="shared" si="1"/>
        <v>0</v>
      </c>
      <c r="K57" s="170"/>
    </row>
    <row r="58" spans="2:9" ht="12.75">
      <c r="B58" s="150"/>
      <c r="D58" s="171" t="s">
        <v>44</v>
      </c>
      <c r="E58" s="33">
        <f>SUM(E50:E57)</f>
        <v>0</v>
      </c>
      <c r="F58" s="297"/>
      <c r="G58" s="327"/>
      <c r="H58" s="327"/>
      <c r="I58" s="33">
        <f>SUM(I50:I57)</f>
        <v>0</v>
      </c>
    </row>
    <row r="59" ht="12.75">
      <c r="B59" s="150"/>
    </row>
    <row r="60" spans="2:9" ht="12.75">
      <c r="B60" s="150"/>
      <c r="D60" s="154" t="s">
        <v>80</v>
      </c>
      <c r="E60" s="155"/>
      <c r="F60" s="156"/>
      <c r="G60" s="157"/>
      <c r="H60" s="157"/>
      <c r="I60" s="47">
        <f>+I47-I58</f>
        <v>0</v>
      </c>
    </row>
    <row r="61" spans="2:9" ht="13.5" thickBot="1">
      <c r="B61" s="150"/>
      <c r="H61" s="135" t="s">
        <v>14</v>
      </c>
      <c r="I61" s="53"/>
    </row>
    <row r="62" spans="2:8" ht="16.5" thickBot="1">
      <c r="B62" s="146">
        <v>4</v>
      </c>
      <c r="D62" s="173" t="s">
        <v>143</v>
      </c>
      <c r="H62" s="135" t="s">
        <v>14</v>
      </c>
    </row>
    <row r="63" spans="2:10" ht="16.5" customHeight="1">
      <c r="B63" s="150"/>
      <c r="D63" s="29" t="s">
        <v>85</v>
      </c>
      <c r="E63" s="15">
        <v>0</v>
      </c>
      <c r="F63" s="200" t="s">
        <v>39</v>
      </c>
      <c r="G63" s="174">
        <f>100*I14</f>
        <v>4241200</v>
      </c>
      <c r="H63" s="328"/>
      <c r="I63" s="31">
        <f>+IF((E63&gt;G63),G63,E63)</f>
        <v>0</v>
      </c>
      <c r="J63" s="14">
        <f>+IF((I63&gt;1),"","")</f>
      </c>
    </row>
    <row r="64" spans="2:10" ht="30" customHeight="1">
      <c r="B64" s="150"/>
      <c r="D64" s="187" t="s">
        <v>86</v>
      </c>
      <c r="E64" s="15"/>
      <c r="F64" s="200" t="s">
        <v>40</v>
      </c>
      <c r="G64" s="174">
        <f>16*I14</f>
        <v>678592</v>
      </c>
      <c r="H64" s="328"/>
      <c r="I64" s="31">
        <f>+IF((E64&gt;G64),G64,E64)</f>
        <v>0</v>
      </c>
      <c r="J64" s="14">
        <f>+IF((I64&gt;1),"","")</f>
      </c>
    </row>
    <row r="65" spans="2:14" ht="12" customHeight="1">
      <c r="B65" s="150"/>
      <c r="D65" s="413" t="s">
        <v>144</v>
      </c>
      <c r="E65" s="377"/>
      <c r="F65" s="375" t="s">
        <v>154</v>
      </c>
      <c r="G65" s="174">
        <f>+I38*0.1</f>
        <v>0</v>
      </c>
      <c r="H65" s="168"/>
      <c r="I65" s="415">
        <f>IF(E65="SI",MIN(G65:G66),0)</f>
        <v>0</v>
      </c>
      <c r="J65" s="417">
        <f>+IF((I65&gt;1),"","")</f>
      </c>
      <c r="K65" s="418"/>
      <c r="L65" s="418"/>
      <c r="M65" s="418"/>
      <c r="N65" s="418"/>
    </row>
    <row r="66" spans="2:14" ht="10.5" customHeight="1">
      <c r="B66" s="150"/>
      <c r="D66" s="414"/>
      <c r="E66" s="378"/>
      <c r="F66" s="380"/>
      <c r="G66" s="168">
        <f>32*I14</f>
        <v>1357184</v>
      </c>
      <c r="H66" s="168"/>
      <c r="I66" s="416"/>
      <c r="J66" s="417"/>
      <c r="K66" s="418"/>
      <c r="L66" s="418"/>
      <c r="M66" s="418"/>
      <c r="N66" s="418"/>
    </row>
    <row r="67" spans="2:11" ht="12.75">
      <c r="B67" s="150"/>
      <c r="D67" s="171" t="s">
        <v>42</v>
      </c>
      <c r="E67" s="33">
        <f>SUM(E63:E66)</f>
        <v>0</v>
      </c>
      <c r="F67" s="297"/>
      <c r="G67" s="172"/>
      <c r="H67" s="172"/>
      <c r="I67" s="33">
        <f>SUM(I63:I66)</f>
        <v>0</v>
      </c>
      <c r="K67" s="14" t="s">
        <v>14</v>
      </c>
    </row>
    <row r="68" spans="2:9" ht="12.75">
      <c r="B68" s="150"/>
      <c r="I68" s="53"/>
    </row>
    <row r="69" spans="2:14" ht="12.75">
      <c r="B69" s="150"/>
      <c r="D69" s="154" t="s">
        <v>41</v>
      </c>
      <c r="E69" s="155"/>
      <c r="F69" s="155"/>
      <c r="G69" s="175"/>
      <c r="H69" s="157"/>
      <c r="I69" s="176">
        <f>+I60-I67</f>
        <v>0</v>
      </c>
      <c r="J69" s="409">
        <f>IF(I12=" Enero","",IF(E71=0,"Digite el valor acumulado de esta renta exenta de meses anteriores del año. Celda E71",""))</f>
      </c>
      <c r="K69" s="409"/>
      <c r="L69" s="409"/>
      <c r="M69" s="352"/>
      <c r="N69" s="353"/>
    </row>
    <row r="70" spans="2:14" ht="13.5" thickBot="1">
      <c r="B70" s="150"/>
      <c r="I70" s="53"/>
      <c r="J70" s="409"/>
      <c r="K70" s="409"/>
      <c r="L70" s="409"/>
      <c r="M70" s="352"/>
      <c r="N70" s="353"/>
    </row>
    <row r="71" spans="2:14" ht="14.25" customHeight="1" thickBot="1">
      <c r="B71" s="146">
        <v>5</v>
      </c>
      <c r="D71" s="177" t="s">
        <v>81</v>
      </c>
      <c r="E71" s="363">
        <v>0</v>
      </c>
      <c r="F71" s="57" t="s">
        <v>177</v>
      </c>
      <c r="G71" s="365">
        <f>+I69</f>
        <v>0</v>
      </c>
      <c r="H71" s="366">
        <f>+I69*0.25</f>
        <v>0</v>
      </c>
      <c r="I71" s="58">
        <f>IF(H71&lt;G72,H71,G72)</f>
        <v>0</v>
      </c>
      <c r="J71" s="15">
        <v>12</v>
      </c>
      <c r="K71" s="463">
        <f>IF(E71&gt;D72,"Ya usó el tope de 790 UVT año","")</f>
      </c>
      <c r="L71" s="369"/>
      <c r="M71" s="352"/>
      <c r="N71" s="353"/>
    </row>
    <row r="72" spans="2:14" ht="12" hidden="1">
      <c r="B72" s="150"/>
      <c r="D72" s="462">
        <f>790*I14</f>
        <v>33505480</v>
      </c>
      <c r="E72" s="461">
        <f>790/J71*I14</f>
        <v>2792123.333333333</v>
      </c>
      <c r="F72" s="461">
        <f>IF(E72&lt;D72-E71,E72,D72-E71)</f>
        <v>2792123.333333333</v>
      </c>
      <c r="G72" s="461">
        <f>IF(F72&lt;0,0,F72)</f>
        <v>2792123.333333333</v>
      </c>
      <c r="H72" s="461"/>
      <c r="I72" s="135"/>
      <c r="J72" s="369"/>
      <c r="K72" s="369"/>
      <c r="L72" s="369"/>
      <c r="M72" s="352"/>
      <c r="N72" s="353"/>
    </row>
    <row r="73" spans="2:14" ht="12.75">
      <c r="B73" s="150"/>
      <c r="J73" s="352"/>
      <c r="K73" s="352"/>
      <c r="L73" s="352"/>
      <c r="M73" s="352"/>
      <c r="N73" s="353"/>
    </row>
    <row r="74" spans="2:14" ht="12.75">
      <c r="B74" s="150"/>
      <c r="D74" s="277" t="s">
        <v>161</v>
      </c>
      <c r="E74" s="279"/>
      <c r="F74" s="280">
        <f>+I47*0.4</f>
        <v>0</v>
      </c>
      <c r="G74" s="280">
        <f>1340*I14/J74</f>
        <v>4736006.666666667</v>
      </c>
      <c r="H74" s="280">
        <f>+I71+I67+I58</f>
        <v>0</v>
      </c>
      <c r="I74" s="281">
        <f>MIN(F74:H74)</f>
        <v>0</v>
      </c>
      <c r="J74" s="15">
        <v>12</v>
      </c>
      <c r="K74" s="354">
        <f>IF(J74="","Digite número de meses","")</f>
      </c>
      <c r="L74" s="352"/>
      <c r="M74" s="352"/>
      <c r="N74" s="353"/>
    </row>
    <row r="75" spans="10:14" ht="12.75">
      <c r="J75" s="352"/>
      <c r="K75" s="352"/>
      <c r="L75" s="352"/>
      <c r="M75" s="352"/>
      <c r="N75" s="353"/>
    </row>
    <row r="76" spans="4:14" ht="12.75">
      <c r="D76" s="154" t="s">
        <v>82</v>
      </c>
      <c r="E76" s="155"/>
      <c r="F76" s="156"/>
      <c r="G76" s="157"/>
      <c r="H76" s="157"/>
      <c r="I76" s="178">
        <f>+I47-I74</f>
        <v>0</v>
      </c>
      <c r="J76" s="352"/>
      <c r="K76" s="352"/>
      <c r="L76" s="352"/>
      <c r="M76" s="352"/>
      <c r="N76" s="353"/>
    </row>
    <row r="77" spans="10:14" ht="11.25" customHeight="1">
      <c r="J77" s="352"/>
      <c r="K77" s="352"/>
      <c r="L77" s="352"/>
      <c r="M77" s="352"/>
      <c r="N77" s="353"/>
    </row>
    <row r="78" spans="4:14" ht="11.25" customHeight="1">
      <c r="D78" s="188" t="s">
        <v>146</v>
      </c>
      <c r="E78" s="276" t="str">
        <f>+'% Retencion fija'!E15</f>
        <v>Diciembre de 2022</v>
      </c>
      <c r="F78" s="275"/>
      <c r="G78" s="332"/>
      <c r="H78" s="332"/>
      <c r="I78" s="333">
        <f>+'% Retencion fija'!K78</f>
        <v>0</v>
      </c>
      <c r="J78" s="352"/>
      <c r="K78" s="352"/>
      <c r="L78" s="352"/>
      <c r="M78" s="352"/>
      <c r="N78" s="353"/>
    </row>
    <row r="79" spans="9:14" ht="11.25" customHeight="1">
      <c r="I79" s="63"/>
      <c r="J79" s="352"/>
      <c r="K79" s="352"/>
      <c r="L79" s="352"/>
      <c r="M79" s="352"/>
      <c r="N79" s="353"/>
    </row>
    <row r="80" spans="1:14" ht="14.25" customHeight="1">
      <c r="A80" s="192">
        <v>44985</v>
      </c>
      <c r="D80" s="56" t="s">
        <v>145</v>
      </c>
      <c r="E80" s="204"/>
      <c r="F80" s="334"/>
      <c r="G80" s="335"/>
      <c r="H80" s="335"/>
      <c r="I80" s="179">
        <f>+I76*I78</f>
        <v>0</v>
      </c>
      <c r="J80" s="353"/>
      <c r="K80" s="352"/>
      <c r="L80" s="352"/>
      <c r="M80" s="352"/>
      <c r="N80" s="353"/>
    </row>
    <row r="81" spans="4:14" ht="11.25" customHeight="1">
      <c r="D81" s="180"/>
      <c r="E81" s="181"/>
      <c r="F81" s="352"/>
      <c r="G81" s="354"/>
      <c r="H81" s="354"/>
      <c r="I81" s="352"/>
      <c r="J81" s="352"/>
      <c r="K81" s="352"/>
      <c r="L81" s="352"/>
      <c r="M81" s="352"/>
      <c r="N81" s="353"/>
    </row>
    <row r="82" spans="4:14" ht="12.75" customHeight="1">
      <c r="D82" s="180"/>
      <c r="E82" s="181"/>
      <c r="F82" s="352"/>
      <c r="G82" s="354"/>
      <c r="H82" s="354"/>
      <c r="I82" s="352"/>
      <c r="J82" s="352"/>
      <c r="K82" s="352"/>
      <c r="L82" s="352"/>
      <c r="M82" s="352"/>
      <c r="N82" s="353"/>
    </row>
    <row r="83" spans="4:14" ht="12">
      <c r="D83" s="180"/>
      <c r="E83" s="181"/>
      <c r="F83" s="352"/>
      <c r="G83" s="354"/>
      <c r="H83" s="354"/>
      <c r="I83" s="352"/>
      <c r="J83" s="352"/>
      <c r="K83" s="352"/>
      <c r="L83" s="352"/>
      <c r="M83" s="352"/>
      <c r="N83" s="353"/>
    </row>
    <row r="84" spans="4:14" s="182" customFormat="1" ht="12">
      <c r="D84" s="180"/>
      <c r="E84" s="181"/>
      <c r="F84" s="354"/>
      <c r="G84" s="354"/>
      <c r="H84" s="354"/>
      <c r="I84" s="354"/>
      <c r="J84" s="354"/>
      <c r="K84" s="354"/>
      <c r="L84" s="354"/>
      <c r="M84" s="354"/>
      <c r="N84" s="355"/>
    </row>
    <row r="85" spans="1:14" s="182" customFormat="1" ht="12">
      <c r="A85" s="8" t="s">
        <v>140</v>
      </c>
      <c r="B85" s="183"/>
      <c r="D85" s="180"/>
      <c r="E85" s="181"/>
      <c r="F85" s="354"/>
      <c r="G85" s="354"/>
      <c r="H85" s="354"/>
      <c r="I85" s="354"/>
      <c r="J85" s="354"/>
      <c r="K85" s="354"/>
      <c r="L85" s="354"/>
      <c r="M85" s="354"/>
      <c r="N85" s="355"/>
    </row>
    <row r="86" spans="1:14" s="182" customFormat="1" ht="12">
      <c r="A86" s="8" t="s">
        <v>141</v>
      </c>
      <c r="B86" s="183"/>
      <c r="D86" s="180"/>
      <c r="E86" s="181"/>
      <c r="F86" s="354"/>
      <c r="G86" s="354"/>
      <c r="H86" s="354"/>
      <c r="I86" s="354"/>
      <c r="J86" s="354"/>
      <c r="K86" s="354"/>
      <c r="L86" s="354"/>
      <c r="M86" s="354"/>
      <c r="N86" s="355"/>
    </row>
    <row r="87" spans="4:14" s="182" customFormat="1" ht="12">
      <c r="D87" s="184"/>
      <c r="E87" s="181"/>
      <c r="F87" s="354"/>
      <c r="G87" s="354"/>
      <c r="H87" s="354"/>
      <c r="I87" s="354"/>
      <c r="J87" s="354"/>
      <c r="K87" s="354"/>
      <c r="L87" s="354"/>
      <c r="M87" s="354"/>
      <c r="N87" s="355"/>
    </row>
    <row r="88" spans="4:14" s="182" customFormat="1" ht="12">
      <c r="D88" s="180"/>
      <c r="E88" s="181"/>
      <c r="F88" s="354"/>
      <c r="G88" s="354"/>
      <c r="H88" s="354"/>
      <c r="I88" s="354"/>
      <c r="J88" s="354"/>
      <c r="K88" s="354"/>
      <c r="L88" s="354"/>
      <c r="M88" s="354"/>
      <c r="N88" s="355"/>
    </row>
    <row r="89" spans="4:14" s="182" customFormat="1" ht="12">
      <c r="D89" s="329"/>
      <c r="E89" s="354"/>
      <c r="F89" s="354"/>
      <c r="G89" s="354"/>
      <c r="H89" s="354"/>
      <c r="I89" s="354"/>
      <c r="J89" s="354"/>
      <c r="K89" s="354"/>
      <c r="L89" s="354"/>
      <c r="M89" s="354"/>
      <c r="N89" s="355"/>
    </row>
    <row r="90" spans="5:14" s="182" customFormat="1" ht="12">
      <c r="E90" s="354"/>
      <c r="F90" s="354"/>
      <c r="G90" s="354"/>
      <c r="H90" s="354"/>
      <c r="I90" s="354"/>
      <c r="J90" s="354"/>
      <c r="K90" s="354"/>
      <c r="L90" s="354"/>
      <c r="M90" s="354"/>
      <c r="N90" s="355"/>
    </row>
    <row r="91" spans="4:13" s="182" customFormat="1" ht="12">
      <c r="D91" s="330"/>
      <c r="E91" s="354"/>
      <c r="F91" s="354"/>
      <c r="G91" s="354"/>
      <c r="H91" s="354"/>
      <c r="I91" s="354"/>
      <c r="J91" s="354"/>
      <c r="K91" s="354"/>
      <c r="L91" s="135"/>
      <c r="M91" s="135"/>
    </row>
    <row r="92" spans="4:13" s="182" customFormat="1" ht="12">
      <c r="D92" s="331"/>
      <c r="E92" s="354"/>
      <c r="F92" s="354"/>
      <c r="G92" s="354"/>
      <c r="H92" s="354"/>
      <c r="I92" s="354"/>
      <c r="J92" s="354"/>
      <c r="K92" s="354"/>
      <c r="L92" s="135"/>
      <c r="M92" s="135"/>
    </row>
    <row r="93" spans="4:13" s="182" customFormat="1" ht="12">
      <c r="D93" s="331"/>
      <c r="E93" s="354"/>
      <c r="F93" s="354"/>
      <c r="G93" s="354"/>
      <c r="H93" s="354"/>
      <c r="I93" s="354"/>
      <c r="J93" s="354"/>
      <c r="K93" s="354"/>
      <c r="L93" s="135"/>
      <c r="M93" s="135"/>
    </row>
    <row r="94" spans="4:13" s="182" customFormat="1" ht="12">
      <c r="D94" s="330"/>
      <c r="E94" s="354"/>
      <c r="F94" s="354"/>
      <c r="G94" s="354"/>
      <c r="H94" s="354"/>
      <c r="I94" s="354"/>
      <c r="J94" s="354"/>
      <c r="K94" s="354"/>
      <c r="L94" s="135"/>
      <c r="M94" s="135"/>
    </row>
    <row r="95" spans="4:13" s="182" customFormat="1" ht="12">
      <c r="D95" s="185"/>
      <c r="E95" s="354"/>
      <c r="F95" s="354"/>
      <c r="G95" s="354"/>
      <c r="H95" s="354"/>
      <c r="I95" s="354"/>
      <c r="J95" s="354"/>
      <c r="K95" s="354"/>
      <c r="L95" s="135"/>
      <c r="M95" s="135"/>
    </row>
    <row r="96" spans="2:13" s="182" customFormat="1" ht="12">
      <c r="B96" s="134"/>
      <c r="C96" s="134"/>
      <c r="E96" s="354"/>
      <c r="F96" s="354"/>
      <c r="G96" s="354"/>
      <c r="H96" s="354"/>
      <c r="I96" s="354"/>
      <c r="J96" s="354"/>
      <c r="K96" s="354"/>
      <c r="L96" s="135"/>
      <c r="M96" s="135"/>
    </row>
    <row r="97" spans="2:13" s="182" customFormat="1" ht="12">
      <c r="B97" s="186" t="s">
        <v>165</v>
      </c>
      <c r="C97" s="186"/>
      <c r="D97" s="134"/>
      <c r="E97" s="354"/>
      <c r="F97" s="354"/>
      <c r="G97" s="354"/>
      <c r="H97" s="354"/>
      <c r="I97" s="354"/>
      <c r="J97" s="354"/>
      <c r="K97" s="354"/>
      <c r="L97" s="135"/>
      <c r="M97" s="135"/>
    </row>
    <row r="98" spans="2:13" s="182" customFormat="1" ht="12">
      <c r="B98" s="186" t="s">
        <v>166</v>
      </c>
      <c r="C98" s="186"/>
      <c r="D98" s="134"/>
      <c r="E98" s="354"/>
      <c r="F98" s="354"/>
      <c r="G98" s="354"/>
      <c r="H98" s="354"/>
      <c r="I98" s="354"/>
      <c r="J98" s="354"/>
      <c r="K98" s="354"/>
      <c r="L98" s="135"/>
      <c r="M98" s="135"/>
    </row>
    <row r="99" spans="2:13" s="182" customFormat="1" ht="12">
      <c r="B99" s="186" t="s">
        <v>167</v>
      </c>
      <c r="C99" s="186"/>
      <c r="D99" s="134"/>
      <c r="E99" s="354"/>
      <c r="F99" s="354"/>
      <c r="G99" s="354"/>
      <c r="H99" s="354"/>
      <c r="I99" s="354"/>
      <c r="J99" s="354"/>
      <c r="K99" s="354"/>
      <c r="L99" s="135"/>
      <c r="M99" s="135"/>
    </row>
    <row r="100" spans="2:13" s="182" customFormat="1" ht="12">
      <c r="B100" s="186" t="s">
        <v>168</v>
      </c>
      <c r="C100" s="186"/>
      <c r="D100" s="134"/>
      <c r="E100" s="354"/>
      <c r="F100" s="354"/>
      <c r="G100" s="354"/>
      <c r="H100" s="354"/>
      <c r="I100" s="354"/>
      <c r="J100" s="354"/>
      <c r="K100" s="354"/>
      <c r="L100" s="135"/>
      <c r="M100" s="135"/>
    </row>
    <row r="101" spans="2:13" s="182" customFormat="1" ht="12">
      <c r="B101" s="186" t="s">
        <v>169</v>
      </c>
      <c r="C101" s="186"/>
      <c r="D101" s="134"/>
      <c r="E101" s="135"/>
      <c r="F101" s="135"/>
      <c r="G101" s="135"/>
      <c r="H101" s="135"/>
      <c r="I101" s="135"/>
      <c r="J101" s="135"/>
      <c r="K101" s="135"/>
      <c r="L101" s="135"/>
      <c r="M101" s="135"/>
    </row>
    <row r="102" spans="2:13" s="182" customFormat="1" ht="12">
      <c r="B102" s="186" t="s">
        <v>170</v>
      </c>
      <c r="C102" s="186"/>
      <c r="D102" s="134"/>
      <c r="E102" s="135"/>
      <c r="F102" s="135"/>
      <c r="G102" s="135"/>
      <c r="H102" s="135"/>
      <c r="I102" s="135"/>
      <c r="J102" s="135"/>
      <c r="K102" s="135"/>
      <c r="L102" s="135"/>
      <c r="M102" s="135"/>
    </row>
    <row r="103" spans="2:13" s="182" customFormat="1" ht="12">
      <c r="B103" s="186" t="s">
        <v>171</v>
      </c>
      <c r="C103" s="186"/>
      <c r="D103" s="134"/>
      <c r="E103" s="135"/>
      <c r="F103" s="135"/>
      <c r="G103" s="135"/>
      <c r="H103" s="135"/>
      <c r="I103" s="135"/>
      <c r="J103" s="135"/>
      <c r="K103" s="135"/>
      <c r="L103" s="135"/>
      <c r="M103" s="135"/>
    </row>
    <row r="104" spans="2:13" s="182" customFormat="1" ht="12">
      <c r="B104" s="186" t="s">
        <v>172</v>
      </c>
      <c r="C104" s="186"/>
      <c r="D104" s="134"/>
      <c r="E104" s="135"/>
      <c r="F104" s="135"/>
      <c r="G104" s="135"/>
      <c r="H104" s="135"/>
      <c r="I104" s="135"/>
      <c r="J104" s="135"/>
      <c r="K104" s="135"/>
      <c r="L104" s="135"/>
      <c r="M104" s="135"/>
    </row>
    <row r="105" spans="2:13" s="182" customFormat="1" ht="12">
      <c r="B105" s="186" t="s">
        <v>173</v>
      </c>
      <c r="C105" s="186"/>
      <c r="D105" s="134"/>
      <c r="E105" s="135"/>
      <c r="F105" s="135"/>
      <c r="G105" s="135"/>
      <c r="H105" s="135"/>
      <c r="I105" s="135"/>
      <c r="J105" s="135"/>
      <c r="K105" s="135"/>
      <c r="L105" s="135"/>
      <c r="M105" s="135"/>
    </row>
    <row r="106" spans="2:13" s="182" customFormat="1" ht="12">
      <c r="B106" s="186" t="s">
        <v>174</v>
      </c>
      <c r="C106" s="186"/>
      <c r="D106" s="134"/>
      <c r="E106" s="135"/>
      <c r="F106" s="135"/>
      <c r="G106" s="135"/>
      <c r="H106" s="135"/>
      <c r="I106" s="135"/>
      <c r="J106" s="135"/>
      <c r="K106" s="135"/>
      <c r="L106" s="135"/>
      <c r="M106" s="135"/>
    </row>
    <row r="107" spans="2:13" s="182" customFormat="1" ht="12">
      <c r="B107" s="186" t="s">
        <v>175</v>
      </c>
      <c r="C107" s="186"/>
      <c r="D107" s="134"/>
      <c r="E107" s="135"/>
      <c r="F107" s="135"/>
      <c r="G107" s="135"/>
      <c r="H107" s="135"/>
      <c r="I107" s="135"/>
      <c r="J107" s="135"/>
      <c r="K107" s="135"/>
      <c r="L107" s="135"/>
      <c r="M107" s="135"/>
    </row>
    <row r="108" spans="2:13" s="182" customFormat="1" ht="12">
      <c r="B108" s="186" t="s">
        <v>176</v>
      </c>
      <c r="C108" s="186"/>
      <c r="D108" s="134"/>
      <c r="E108" s="135"/>
      <c r="F108" s="135"/>
      <c r="G108" s="135"/>
      <c r="H108" s="135"/>
      <c r="I108" s="135"/>
      <c r="J108" s="135"/>
      <c r="K108" s="135"/>
      <c r="L108" s="135"/>
      <c r="M108" s="135"/>
    </row>
    <row r="109" spans="2:13" s="182" customFormat="1" ht="12">
      <c r="B109" s="134"/>
      <c r="C109" s="134"/>
      <c r="D109" s="134"/>
      <c r="E109" s="135"/>
      <c r="F109" s="135"/>
      <c r="G109" s="135"/>
      <c r="H109" s="135"/>
      <c r="I109" s="135"/>
      <c r="J109" s="135"/>
      <c r="K109" s="135"/>
      <c r="L109" s="135"/>
      <c r="M109" s="135"/>
    </row>
    <row r="110" spans="5:13" s="182" customFormat="1" ht="12">
      <c r="E110" s="135"/>
      <c r="F110" s="135"/>
      <c r="G110" s="135"/>
      <c r="H110" s="135"/>
      <c r="I110" s="135"/>
      <c r="J110" s="135"/>
      <c r="K110" s="135"/>
      <c r="L110" s="135"/>
      <c r="M110" s="135"/>
    </row>
    <row r="111" spans="5:13" s="182" customFormat="1" ht="12">
      <c r="E111" s="135"/>
      <c r="F111" s="135"/>
      <c r="G111" s="135"/>
      <c r="H111" s="135"/>
      <c r="I111" s="135"/>
      <c r="J111" s="135"/>
      <c r="K111" s="135"/>
      <c r="L111" s="135"/>
      <c r="M111" s="135"/>
    </row>
    <row r="112" spans="5:13" s="182" customFormat="1" ht="12">
      <c r="E112" s="135"/>
      <c r="F112" s="135"/>
      <c r="G112" s="135"/>
      <c r="H112" s="135"/>
      <c r="I112" s="135"/>
      <c r="J112" s="135"/>
      <c r="K112" s="135"/>
      <c r="L112" s="135"/>
      <c r="M112" s="135"/>
    </row>
    <row r="113" spans="5:13" s="182" customFormat="1" ht="12">
      <c r="E113" s="135"/>
      <c r="F113" s="135"/>
      <c r="G113" s="135"/>
      <c r="H113" s="135"/>
      <c r="I113" s="135"/>
      <c r="J113" s="135"/>
      <c r="K113" s="135"/>
      <c r="L113" s="135"/>
      <c r="M113" s="135"/>
    </row>
    <row r="114" spans="5:13" s="182" customFormat="1" ht="12">
      <c r="E114" s="135"/>
      <c r="F114" s="135"/>
      <c r="G114" s="135"/>
      <c r="H114" s="135"/>
      <c r="I114" s="135"/>
      <c r="J114" s="135"/>
      <c r="K114" s="135"/>
      <c r="L114" s="135"/>
      <c r="M114" s="135"/>
    </row>
    <row r="115" spans="5:13" s="182" customFormat="1" ht="12">
      <c r="E115" s="135"/>
      <c r="F115" s="135"/>
      <c r="G115" s="135"/>
      <c r="H115" s="135"/>
      <c r="I115" s="135"/>
      <c r="J115" s="135"/>
      <c r="K115" s="135"/>
      <c r="L115" s="135"/>
      <c r="M115" s="135"/>
    </row>
    <row r="116" spans="5:13" s="182" customFormat="1" ht="12">
      <c r="E116" s="135"/>
      <c r="F116" s="135"/>
      <c r="G116" s="135"/>
      <c r="H116" s="135"/>
      <c r="I116" s="135"/>
      <c r="J116" s="135"/>
      <c r="K116" s="135"/>
      <c r="L116" s="135"/>
      <c r="M116" s="135"/>
    </row>
    <row r="117" spans="5:13" s="182" customFormat="1" ht="12">
      <c r="E117" s="135"/>
      <c r="F117" s="135"/>
      <c r="G117" s="135"/>
      <c r="H117" s="135"/>
      <c r="I117" s="135"/>
      <c r="J117" s="135"/>
      <c r="K117" s="135"/>
      <c r="L117" s="135"/>
      <c r="M117" s="135"/>
    </row>
    <row r="118" spans="5:13" s="182" customFormat="1" ht="12">
      <c r="E118" s="135"/>
      <c r="F118" s="135"/>
      <c r="G118" s="135"/>
      <c r="H118" s="135"/>
      <c r="I118" s="135"/>
      <c r="J118" s="135"/>
      <c r="K118" s="135"/>
      <c r="L118" s="135"/>
      <c r="M118" s="135"/>
    </row>
    <row r="119" spans="5:13" s="182" customFormat="1" ht="12">
      <c r="E119" s="135"/>
      <c r="F119" s="135"/>
      <c r="G119" s="135"/>
      <c r="H119" s="135"/>
      <c r="I119" s="135"/>
      <c r="J119" s="135"/>
      <c r="K119" s="135"/>
      <c r="L119" s="135"/>
      <c r="M119" s="135"/>
    </row>
    <row r="120" spans="5:13" s="182" customFormat="1" ht="12">
      <c r="E120" s="135"/>
      <c r="F120" s="135"/>
      <c r="G120" s="135"/>
      <c r="H120" s="135"/>
      <c r="I120" s="135"/>
      <c r="J120" s="135"/>
      <c r="K120" s="135"/>
      <c r="L120" s="135"/>
      <c r="M120" s="135"/>
    </row>
    <row r="121" spans="5:13" s="182" customFormat="1" ht="12">
      <c r="E121" s="135"/>
      <c r="F121" s="135"/>
      <c r="G121" s="135"/>
      <c r="H121" s="135"/>
      <c r="I121" s="135"/>
      <c r="J121" s="135"/>
      <c r="K121" s="135"/>
      <c r="L121" s="135"/>
      <c r="M121" s="135"/>
    </row>
    <row r="122" spans="5:13" s="182" customFormat="1" ht="12">
      <c r="E122" s="135"/>
      <c r="F122" s="135"/>
      <c r="G122" s="135"/>
      <c r="H122" s="135"/>
      <c r="I122" s="135"/>
      <c r="J122" s="135"/>
      <c r="K122" s="135"/>
      <c r="L122" s="135"/>
      <c r="M122" s="135"/>
    </row>
    <row r="123" spans="5:13" s="182" customFormat="1" ht="12">
      <c r="E123" s="135"/>
      <c r="F123" s="135"/>
      <c r="G123" s="135"/>
      <c r="H123" s="135"/>
      <c r="I123" s="135"/>
      <c r="J123" s="135"/>
      <c r="K123" s="135"/>
      <c r="L123" s="135"/>
      <c r="M123" s="135"/>
    </row>
    <row r="124" spans="5:13" s="182" customFormat="1" ht="12">
      <c r="E124" s="135"/>
      <c r="F124" s="135"/>
      <c r="G124" s="135"/>
      <c r="H124" s="135"/>
      <c r="I124" s="135"/>
      <c r="J124" s="135"/>
      <c r="K124" s="135"/>
      <c r="L124" s="135"/>
      <c r="M124" s="135"/>
    </row>
    <row r="125" spans="5:13" s="182" customFormat="1" ht="12">
      <c r="E125" s="135"/>
      <c r="F125" s="135"/>
      <c r="G125" s="135"/>
      <c r="H125" s="135"/>
      <c r="I125" s="135"/>
      <c r="J125" s="135"/>
      <c r="K125" s="135"/>
      <c r="L125" s="135"/>
      <c r="M125" s="135"/>
    </row>
    <row r="268" spans="1:256" s="14" customFormat="1" ht="12">
      <c r="A268" s="134"/>
      <c r="B268" s="134"/>
      <c r="C268" s="134"/>
      <c r="D268" s="140">
        <f ca="1">TODAY()</f>
        <v>44966</v>
      </c>
      <c r="G268" s="135"/>
      <c r="H268" s="135"/>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c r="BU268" s="134"/>
      <c r="BV268" s="134"/>
      <c r="BW268" s="134"/>
      <c r="BX268" s="134"/>
      <c r="BY268" s="134"/>
      <c r="BZ268" s="134"/>
      <c r="CA268" s="134"/>
      <c r="CB268" s="134"/>
      <c r="CC268" s="134"/>
      <c r="CD268" s="134"/>
      <c r="CE268" s="134"/>
      <c r="CF268" s="134"/>
      <c r="CG268" s="134"/>
      <c r="CH268" s="134"/>
      <c r="CI268" s="134"/>
      <c r="CJ268" s="134"/>
      <c r="CK268" s="134"/>
      <c r="CL268" s="134"/>
      <c r="CM268" s="134"/>
      <c r="CN268" s="134"/>
      <c r="CO268" s="134"/>
      <c r="CP268" s="134"/>
      <c r="CQ268" s="134"/>
      <c r="CR268" s="134"/>
      <c r="CS268" s="134"/>
      <c r="CT268" s="134"/>
      <c r="CU268" s="134"/>
      <c r="CV268" s="134"/>
      <c r="CW268" s="134"/>
      <c r="CX268" s="134"/>
      <c r="CY268" s="134"/>
      <c r="CZ268" s="134"/>
      <c r="DA268" s="134"/>
      <c r="DB268" s="134"/>
      <c r="DC268" s="134"/>
      <c r="DD268" s="134"/>
      <c r="DE268" s="134"/>
      <c r="DF268" s="134"/>
      <c r="DG268" s="134"/>
      <c r="DH268" s="134"/>
      <c r="DI268" s="134"/>
      <c r="DJ268" s="134"/>
      <c r="DK268" s="134"/>
      <c r="DL268" s="134"/>
      <c r="DM268" s="134"/>
      <c r="DN268" s="134"/>
      <c r="DO268" s="134"/>
      <c r="DP268" s="134"/>
      <c r="DQ268" s="134"/>
      <c r="DR268" s="134"/>
      <c r="DS268" s="134"/>
      <c r="DT268" s="134"/>
      <c r="DU268" s="134"/>
      <c r="DV268" s="134"/>
      <c r="DW268" s="134"/>
      <c r="DX268" s="134"/>
      <c r="DY268" s="134"/>
      <c r="DZ268" s="134"/>
      <c r="EA268" s="134"/>
      <c r="EB268" s="134"/>
      <c r="EC268" s="134"/>
      <c r="ED268" s="134"/>
      <c r="EE268" s="134"/>
      <c r="EF268" s="134"/>
      <c r="EG268" s="134"/>
      <c r="EH268" s="134"/>
      <c r="EI268" s="134"/>
      <c r="EJ268" s="134"/>
      <c r="EK268" s="134"/>
      <c r="EL268" s="134"/>
      <c r="EM268" s="134"/>
      <c r="EN268" s="134"/>
      <c r="EO268" s="134"/>
      <c r="EP268" s="134"/>
      <c r="EQ268" s="134"/>
      <c r="ER268" s="134"/>
      <c r="ES268" s="134"/>
      <c r="ET268" s="134"/>
      <c r="EU268" s="134"/>
      <c r="EV268" s="134"/>
      <c r="EW268" s="134"/>
      <c r="EX268" s="134"/>
      <c r="EY268" s="134"/>
      <c r="EZ268" s="134"/>
      <c r="FA268" s="134"/>
      <c r="FB268" s="134"/>
      <c r="FC268" s="134"/>
      <c r="FD268" s="134"/>
      <c r="FE268" s="134"/>
      <c r="FF268" s="134"/>
      <c r="FG268" s="134"/>
      <c r="FH268" s="134"/>
      <c r="FI268" s="134"/>
      <c r="FJ268" s="134"/>
      <c r="FK268" s="134"/>
      <c r="FL268" s="134"/>
      <c r="FM268" s="134"/>
      <c r="FN268" s="134"/>
      <c r="FO268" s="134"/>
      <c r="FP268" s="134"/>
      <c r="FQ268" s="134"/>
      <c r="FR268" s="134"/>
      <c r="FS268" s="134"/>
      <c r="FT268" s="134"/>
      <c r="FU268" s="134"/>
      <c r="FV268" s="134"/>
      <c r="FW268" s="134"/>
      <c r="FX268" s="134"/>
      <c r="FY268" s="134"/>
      <c r="FZ268" s="134"/>
      <c r="GA268" s="134"/>
      <c r="GB268" s="134"/>
      <c r="GC268" s="134"/>
      <c r="GD268" s="134"/>
      <c r="GE268" s="134"/>
      <c r="GF268" s="134"/>
      <c r="GG268" s="134"/>
      <c r="GH268" s="134"/>
      <c r="GI268" s="134"/>
      <c r="GJ268" s="134"/>
      <c r="GK268" s="134"/>
      <c r="GL268" s="134"/>
      <c r="GM268" s="134"/>
      <c r="GN268" s="134"/>
      <c r="GO268" s="134"/>
      <c r="GP268" s="134"/>
      <c r="GQ268" s="134"/>
      <c r="GR268" s="134"/>
      <c r="GS268" s="134"/>
      <c r="GT268" s="134"/>
      <c r="GU268" s="134"/>
      <c r="GV268" s="134"/>
      <c r="GW268" s="134"/>
      <c r="GX268" s="134"/>
      <c r="GY268" s="134"/>
      <c r="GZ268" s="134"/>
      <c r="HA268" s="134"/>
      <c r="HB268" s="134"/>
      <c r="HC268" s="134"/>
      <c r="HD268" s="134"/>
      <c r="HE268" s="134"/>
      <c r="HF268" s="134"/>
      <c r="HG268" s="134"/>
      <c r="HH268" s="134"/>
      <c r="HI268" s="134"/>
      <c r="HJ268" s="134"/>
      <c r="HK268" s="134"/>
      <c r="HL268" s="134"/>
      <c r="HM268" s="134"/>
      <c r="HN268" s="134"/>
      <c r="HO268" s="134"/>
      <c r="HP268" s="134"/>
      <c r="HQ268" s="134"/>
      <c r="HR268" s="134"/>
      <c r="HS268" s="134"/>
      <c r="HT268" s="134"/>
      <c r="HU268" s="134"/>
      <c r="HV268" s="134"/>
      <c r="HW268" s="134"/>
      <c r="HX268" s="134"/>
      <c r="HY268" s="134"/>
      <c r="HZ268" s="134"/>
      <c r="IA268" s="134"/>
      <c r="IB268" s="134"/>
      <c r="IC268" s="134"/>
      <c r="ID268" s="134"/>
      <c r="IE268" s="134"/>
      <c r="IF268" s="134"/>
      <c r="IG268" s="134"/>
      <c r="IH268" s="134"/>
      <c r="II268" s="134"/>
      <c r="IJ268" s="134"/>
      <c r="IK268" s="134"/>
      <c r="IL268" s="134"/>
      <c r="IM268" s="134"/>
      <c r="IN268" s="134"/>
      <c r="IO268" s="134"/>
      <c r="IP268" s="134"/>
      <c r="IQ268" s="134"/>
      <c r="IR268" s="134"/>
      <c r="IS268" s="134"/>
      <c r="IT268" s="134"/>
      <c r="IU268" s="134"/>
      <c r="IV268" s="134"/>
    </row>
    <row r="269" spans="1:256" s="14" customFormat="1" ht="12">
      <c r="A269" s="134"/>
      <c r="B269" s="134"/>
      <c r="C269" s="134"/>
      <c r="D269" s="140">
        <f>+A80</f>
        <v>44985</v>
      </c>
      <c r="G269" s="135"/>
      <c r="H269" s="135"/>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34"/>
      <c r="BJ269" s="134"/>
      <c r="BK269" s="134"/>
      <c r="BL269" s="134"/>
      <c r="BM269" s="134"/>
      <c r="BN269" s="134"/>
      <c r="BO269" s="134"/>
      <c r="BP269" s="134"/>
      <c r="BQ269" s="134"/>
      <c r="BR269" s="134"/>
      <c r="BS269" s="134"/>
      <c r="BT269" s="134"/>
      <c r="BU269" s="134"/>
      <c r="BV269" s="134"/>
      <c r="BW269" s="134"/>
      <c r="BX269" s="134"/>
      <c r="BY269" s="134"/>
      <c r="BZ269" s="134"/>
      <c r="CA269" s="134"/>
      <c r="CB269" s="134"/>
      <c r="CC269" s="134"/>
      <c r="CD269" s="134"/>
      <c r="CE269" s="134"/>
      <c r="CF269" s="134"/>
      <c r="CG269" s="134"/>
      <c r="CH269" s="134"/>
      <c r="CI269" s="134"/>
      <c r="CJ269" s="134"/>
      <c r="CK269" s="134"/>
      <c r="CL269" s="134"/>
      <c r="CM269" s="134"/>
      <c r="CN269" s="134"/>
      <c r="CO269" s="134"/>
      <c r="CP269" s="134"/>
      <c r="CQ269" s="134"/>
      <c r="CR269" s="134"/>
      <c r="CS269" s="134"/>
      <c r="CT269" s="134"/>
      <c r="CU269" s="134"/>
      <c r="CV269" s="134"/>
      <c r="CW269" s="134"/>
      <c r="CX269" s="134"/>
      <c r="CY269" s="134"/>
      <c r="CZ269" s="134"/>
      <c r="DA269" s="134"/>
      <c r="DB269" s="134"/>
      <c r="DC269" s="134"/>
      <c r="DD269" s="134"/>
      <c r="DE269" s="134"/>
      <c r="DF269" s="134"/>
      <c r="DG269" s="134"/>
      <c r="DH269" s="134"/>
      <c r="DI269" s="134"/>
      <c r="DJ269" s="134"/>
      <c r="DK269" s="134"/>
      <c r="DL269" s="134"/>
      <c r="DM269" s="134"/>
      <c r="DN269" s="134"/>
      <c r="DO269" s="134"/>
      <c r="DP269" s="134"/>
      <c r="DQ269" s="134"/>
      <c r="DR269" s="134"/>
      <c r="DS269" s="134"/>
      <c r="DT269" s="134"/>
      <c r="DU269" s="134"/>
      <c r="DV269" s="134"/>
      <c r="DW269" s="134"/>
      <c r="DX269" s="134"/>
      <c r="DY269" s="134"/>
      <c r="DZ269" s="134"/>
      <c r="EA269" s="134"/>
      <c r="EB269" s="134"/>
      <c r="EC269" s="134"/>
      <c r="ED269" s="134"/>
      <c r="EE269" s="134"/>
      <c r="EF269" s="134"/>
      <c r="EG269" s="134"/>
      <c r="EH269" s="134"/>
      <c r="EI269" s="134"/>
      <c r="EJ269" s="134"/>
      <c r="EK269" s="134"/>
      <c r="EL269" s="134"/>
      <c r="EM269" s="134"/>
      <c r="EN269" s="134"/>
      <c r="EO269" s="134"/>
      <c r="EP269" s="134"/>
      <c r="EQ269" s="134"/>
      <c r="ER269" s="134"/>
      <c r="ES269" s="134"/>
      <c r="ET269" s="134"/>
      <c r="EU269" s="134"/>
      <c r="EV269" s="134"/>
      <c r="EW269" s="134"/>
      <c r="EX269" s="134"/>
      <c r="EY269" s="134"/>
      <c r="EZ269" s="134"/>
      <c r="FA269" s="134"/>
      <c r="FB269" s="134"/>
      <c r="FC269" s="134"/>
      <c r="FD269" s="134"/>
      <c r="FE269" s="134"/>
      <c r="FF269" s="134"/>
      <c r="FG269" s="134"/>
      <c r="FH269" s="134"/>
      <c r="FI269" s="134"/>
      <c r="FJ269" s="134"/>
      <c r="FK269" s="134"/>
      <c r="FL269" s="134"/>
      <c r="FM269" s="134"/>
      <c r="FN269" s="134"/>
      <c r="FO269" s="134"/>
      <c r="FP269" s="134"/>
      <c r="FQ269" s="134"/>
      <c r="FR269" s="134"/>
      <c r="FS269" s="134"/>
      <c r="FT269" s="134"/>
      <c r="FU269" s="134"/>
      <c r="FV269" s="134"/>
      <c r="FW269" s="134"/>
      <c r="FX269" s="134"/>
      <c r="FY269" s="134"/>
      <c r="FZ269" s="134"/>
      <c r="GA269" s="134"/>
      <c r="GB269" s="134"/>
      <c r="GC269" s="134"/>
      <c r="GD269" s="134"/>
      <c r="GE269" s="134"/>
      <c r="GF269" s="134"/>
      <c r="GG269" s="134"/>
      <c r="GH269" s="134"/>
      <c r="GI269" s="134"/>
      <c r="GJ269" s="134"/>
      <c r="GK269" s="134"/>
      <c r="GL269" s="134"/>
      <c r="GM269" s="134"/>
      <c r="GN269" s="134"/>
      <c r="GO269" s="134"/>
      <c r="GP269" s="134"/>
      <c r="GQ269" s="134"/>
      <c r="GR269" s="134"/>
      <c r="GS269" s="134"/>
      <c r="GT269" s="134"/>
      <c r="GU269" s="134"/>
      <c r="GV269" s="134"/>
      <c r="GW269" s="134"/>
      <c r="GX269" s="134"/>
      <c r="GY269" s="134"/>
      <c r="GZ269" s="134"/>
      <c r="HA269" s="134"/>
      <c r="HB269" s="134"/>
      <c r="HC269" s="134"/>
      <c r="HD269" s="134"/>
      <c r="HE269" s="134"/>
      <c r="HF269" s="134"/>
      <c r="HG269" s="134"/>
      <c r="HH269" s="134"/>
      <c r="HI269" s="134"/>
      <c r="HJ269" s="134"/>
      <c r="HK269" s="134"/>
      <c r="HL269" s="134"/>
      <c r="HM269" s="134"/>
      <c r="HN269" s="134"/>
      <c r="HO269" s="134"/>
      <c r="HP269" s="134"/>
      <c r="HQ269" s="134"/>
      <c r="HR269" s="134"/>
      <c r="HS269" s="134"/>
      <c r="HT269" s="134"/>
      <c r="HU269" s="134"/>
      <c r="HV269" s="134"/>
      <c r="HW269" s="134"/>
      <c r="HX269" s="134"/>
      <c r="HY269" s="134"/>
      <c r="HZ269" s="134"/>
      <c r="IA269" s="134"/>
      <c r="IB269" s="134"/>
      <c r="IC269" s="134"/>
      <c r="ID269" s="134"/>
      <c r="IE269" s="134"/>
      <c r="IF269" s="134"/>
      <c r="IG269" s="134"/>
      <c r="IH269" s="134"/>
      <c r="II269" s="134"/>
      <c r="IJ269" s="134"/>
      <c r="IK269" s="134"/>
      <c r="IL269" s="134"/>
      <c r="IM269" s="134"/>
      <c r="IN269" s="134"/>
      <c r="IO269" s="134"/>
      <c r="IP269" s="134"/>
      <c r="IQ269" s="134"/>
      <c r="IR269" s="134"/>
      <c r="IS269" s="134"/>
      <c r="IT269" s="134"/>
      <c r="IU269" s="134"/>
      <c r="IV269" s="134"/>
    </row>
    <row r="270" spans="1:256" s="14" customFormat="1" ht="12">
      <c r="A270" s="134"/>
      <c r="B270" s="134"/>
      <c r="C270" s="134"/>
      <c r="D270" s="134">
        <f>IF(D269&lt;D268,1,"")</f>
      </c>
      <c r="G270" s="135"/>
      <c r="H270" s="135"/>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34"/>
      <c r="BJ270" s="134"/>
      <c r="BK270" s="134"/>
      <c r="BL270" s="134"/>
      <c r="BM270" s="134"/>
      <c r="BN270" s="134"/>
      <c r="BO270" s="134"/>
      <c r="BP270" s="134"/>
      <c r="BQ270" s="134"/>
      <c r="BR270" s="134"/>
      <c r="BS270" s="134"/>
      <c r="BT270" s="134"/>
      <c r="BU270" s="134"/>
      <c r="BV270" s="134"/>
      <c r="BW270" s="134"/>
      <c r="BX270" s="134"/>
      <c r="BY270" s="134"/>
      <c r="BZ270" s="134"/>
      <c r="CA270" s="134"/>
      <c r="CB270" s="134"/>
      <c r="CC270" s="134"/>
      <c r="CD270" s="134"/>
      <c r="CE270" s="134"/>
      <c r="CF270" s="134"/>
      <c r="CG270" s="134"/>
      <c r="CH270" s="134"/>
      <c r="CI270" s="134"/>
      <c r="CJ270" s="134"/>
      <c r="CK270" s="134"/>
      <c r="CL270" s="134"/>
      <c r="CM270" s="134"/>
      <c r="CN270" s="134"/>
      <c r="CO270" s="134"/>
      <c r="CP270" s="134"/>
      <c r="CQ270" s="134"/>
      <c r="CR270" s="134"/>
      <c r="CS270" s="134"/>
      <c r="CT270" s="134"/>
      <c r="CU270" s="134"/>
      <c r="CV270" s="134"/>
      <c r="CW270" s="134"/>
      <c r="CX270" s="134"/>
      <c r="CY270" s="134"/>
      <c r="CZ270" s="134"/>
      <c r="DA270" s="134"/>
      <c r="DB270" s="134"/>
      <c r="DC270" s="134"/>
      <c r="DD270" s="134"/>
      <c r="DE270" s="134"/>
      <c r="DF270" s="134"/>
      <c r="DG270" s="134"/>
      <c r="DH270" s="134"/>
      <c r="DI270" s="134"/>
      <c r="DJ270" s="134"/>
      <c r="DK270" s="134"/>
      <c r="DL270" s="134"/>
      <c r="DM270" s="134"/>
      <c r="DN270" s="134"/>
      <c r="DO270" s="134"/>
      <c r="DP270" s="134"/>
      <c r="DQ270" s="134"/>
      <c r="DR270" s="134"/>
      <c r="DS270" s="134"/>
      <c r="DT270" s="134"/>
      <c r="DU270" s="134"/>
      <c r="DV270" s="134"/>
      <c r="DW270" s="134"/>
      <c r="DX270" s="134"/>
      <c r="DY270" s="134"/>
      <c r="DZ270" s="134"/>
      <c r="EA270" s="134"/>
      <c r="EB270" s="134"/>
      <c r="EC270" s="134"/>
      <c r="ED270" s="134"/>
      <c r="EE270" s="134"/>
      <c r="EF270" s="134"/>
      <c r="EG270" s="134"/>
      <c r="EH270" s="134"/>
      <c r="EI270" s="134"/>
      <c r="EJ270" s="134"/>
      <c r="EK270" s="134"/>
      <c r="EL270" s="134"/>
      <c r="EM270" s="134"/>
      <c r="EN270" s="134"/>
      <c r="EO270" s="134"/>
      <c r="EP270" s="134"/>
      <c r="EQ270" s="134"/>
      <c r="ER270" s="134"/>
      <c r="ES270" s="134"/>
      <c r="ET270" s="134"/>
      <c r="EU270" s="134"/>
      <c r="EV270" s="134"/>
      <c r="EW270" s="134"/>
      <c r="EX270" s="134"/>
      <c r="EY270" s="134"/>
      <c r="EZ270" s="134"/>
      <c r="FA270" s="134"/>
      <c r="FB270" s="134"/>
      <c r="FC270" s="134"/>
      <c r="FD270" s="134"/>
      <c r="FE270" s="134"/>
      <c r="FF270" s="134"/>
      <c r="FG270" s="134"/>
      <c r="FH270" s="134"/>
      <c r="FI270" s="134"/>
      <c r="FJ270" s="134"/>
      <c r="FK270" s="134"/>
      <c r="FL270" s="134"/>
      <c r="FM270" s="134"/>
      <c r="FN270" s="134"/>
      <c r="FO270" s="134"/>
      <c r="FP270" s="134"/>
      <c r="FQ270" s="134"/>
      <c r="FR270" s="134"/>
      <c r="FS270" s="134"/>
      <c r="FT270" s="134"/>
      <c r="FU270" s="134"/>
      <c r="FV270" s="134"/>
      <c r="FW270" s="134"/>
      <c r="FX270" s="134"/>
      <c r="FY270" s="134"/>
      <c r="FZ270" s="134"/>
      <c r="GA270" s="134"/>
      <c r="GB270" s="134"/>
      <c r="GC270" s="134"/>
      <c r="GD270" s="134"/>
      <c r="GE270" s="134"/>
      <c r="GF270" s="134"/>
      <c r="GG270" s="134"/>
      <c r="GH270" s="134"/>
      <c r="GI270" s="134"/>
      <c r="GJ270" s="134"/>
      <c r="GK270" s="134"/>
      <c r="GL270" s="134"/>
      <c r="GM270" s="134"/>
      <c r="GN270" s="134"/>
      <c r="GO270" s="134"/>
      <c r="GP270" s="134"/>
      <c r="GQ270" s="134"/>
      <c r="GR270" s="134"/>
      <c r="GS270" s="134"/>
      <c r="GT270" s="134"/>
      <c r="GU270" s="134"/>
      <c r="GV270" s="134"/>
      <c r="GW270" s="134"/>
      <c r="GX270" s="134"/>
      <c r="GY270" s="134"/>
      <c r="GZ270" s="134"/>
      <c r="HA270" s="134"/>
      <c r="HB270" s="134"/>
      <c r="HC270" s="134"/>
      <c r="HD270" s="134"/>
      <c r="HE270" s="134"/>
      <c r="HF270" s="134"/>
      <c r="HG270" s="134"/>
      <c r="HH270" s="134"/>
      <c r="HI270" s="134"/>
      <c r="HJ270" s="134"/>
      <c r="HK270" s="134"/>
      <c r="HL270" s="134"/>
      <c r="HM270" s="134"/>
      <c r="HN270" s="134"/>
      <c r="HO270" s="134"/>
      <c r="HP270" s="134"/>
      <c r="HQ270" s="134"/>
      <c r="HR270" s="134"/>
      <c r="HS270" s="134"/>
      <c r="HT270" s="134"/>
      <c r="HU270" s="134"/>
      <c r="HV270" s="134"/>
      <c r="HW270" s="134"/>
      <c r="HX270" s="134"/>
      <c r="HY270" s="134"/>
      <c r="HZ270" s="134"/>
      <c r="IA270" s="134"/>
      <c r="IB270" s="134"/>
      <c r="IC270" s="134"/>
      <c r="ID270" s="134"/>
      <c r="IE270" s="134"/>
      <c r="IF270" s="134"/>
      <c r="IG270" s="134"/>
      <c r="IH270" s="134"/>
      <c r="II270" s="134"/>
      <c r="IJ270" s="134"/>
      <c r="IK270" s="134"/>
      <c r="IL270" s="134"/>
      <c r="IM270" s="134"/>
      <c r="IN270" s="134"/>
      <c r="IO270" s="134"/>
      <c r="IP270" s="134"/>
      <c r="IQ270" s="134"/>
      <c r="IR270" s="134"/>
      <c r="IS270" s="134"/>
      <c r="IT270" s="134"/>
      <c r="IU270" s="134"/>
      <c r="IV270" s="134"/>
    </row>
  </sheetData>
  <sheetProtection password="CAE7" sheet="1" formatCells="0" formatColumns="0" formatRows="0"/>
  <mergeCells count="10">
    <mergeCell ref="J69:L70"/>
    <mergeCell ref="F50:F51"/>
    <mergeCell ref="I50:I51"/>
    <mergeCell ref="K8:N13"/>
    <mergeCell ref="G17:H17"/>
    <mergeCell ref="D65:D66"/>
    <mergeCell ref="E65:E66"/>
    <mergeCell ref="F65:F66"/>
    <mergeCell ref="I65:I66"/>
    <mergeCell ref="J65:N66"/>
  </mergeCells>
  <dataValidations count="15">
    <dataValidation type="date" allowBlank="1" showInputMessage="1" showErrorMessage="1" sqref="E81:E88">
      <formula1>36526</formula1>
      <formula2>66111</formula2>
    </dataValidation>
    <dataValidation type="list" allowBlank="1" showInputMessage="1" showErrorMessage="1" prompt="Seleccione  el mes del cálculo" sqref="I11">
      <formula1>$B$97:$B$108</formula1>
    </dataValidation>
    <dataValidation allowBlank="1" showInputMessage="1" showErrorMessage="1" promptTitle="Incluya" prompt="Pagos directos o indirectos&#10;En dinero o en especie&#10;Sean o no factor salarial&#10;Art. 127 y 128 del CST&#10;&#10;Recuerde que en el mes que se pague prima legal, esta se debe liquidar de forma independiente.&#10;" sqref="D33:D37 E20:E31 E34:E37 I47 I45 E47 E45"/>
    <dataValidation allowBlank="1" showInputMessage="1" showErrorMessage="1" prompt="Digite la totalidad de los ingresos recibidos en el año anterior" sqref="I9"/>
    <dataValidation allowBlank="1" showInputMessage="1" showErrorMessage="1" prompt="Recuerde que estos pagos que efectue el empleador por concepto de alimentación  del trabajador  o de su conyugue co compañero (a) permanente, sus hijos o su padres son ingresos no constitutivos de renta" sqref="E58"/>
    <dataValidation allowBlank="1" showInputMessage="1" showErrorMessage="1" promptTitle="Incluya" prompt="Pagos directos o indirectos&#10;En dinero o en especie&#10;Sean o no factor salarial&#10;Art. 127 y 128 del CST&#10;&#10;Recuerde que en este procedimiento la prima legal si se incluye como parte de los ingresos devengados por el trabajador &#10;" sqref="D20:D32"/>
    <dataValidation allowBlank="1" showInputMessage="1" showErrorMessage="1" promptTitle="Incluya" prompt="Este rubro no hace parte de la depuración del procedimiento, por tanto se deja la descripción para que no se cometa el error de digitarlo en otra casilla." sqref="E32:E33"/>
    <dataValidation type="whole" allowBlank="1" showInputMessage="1" showErrorMessage="1" prompt="De acuerdo al valor promedio del certificado respectivo." sqref="E63:E64">
      <formula1>0</formula1>
      <formula2>350000000</formula2>
    </dataValidation>
    <dataValidation type="list" allowBlank="1" showInputMessage="1" showErrorMessage="1" prompt="Digite o seleccione de la lista: SI  ó NO  tiene derecho a dependientes" sqref="E65:E66">
      <formula1>$A$85:$A$86</formula1>
    </dataValidation>
    <dataValidation allowBlank="1" showInputMessage="1" showErrorMessage="1" promptTitle="Límite 40% y hasta 1.340 UVT" prompt="Digite el número de meses que requiere controlar el límite de las 1,340 UVT anual.  Puede dejar en 12 meses y el límite lo establecerá de forma mensual." sqref="J74"/>
    <dataValidation allowBlank="1" showInputMessage="1" showErrorMessage="1" prompt="Desde el mes de febrero digíte el valor acumulado que ha utilizado como renta exenta laboral del 25% en los meses anteriores al del cálculo durante este año gravable" sqref="E71"/>
    <dataValidation allowBlank="1" showInputMessage="1" showErrorMessage="1" prompt="Control del límite de las 2.500 UVT, lo normal es dividir en 12, pero usted podrá cambiar a menos tiempo, pero deberá llevar el control para que durante el año no se pase de 2.500  UVT" sqref="J43"/>
    <dataValidation allowBlank="1" showInputMessage="1" showErrorMessage="1" prompt="Control del límite de las 3800 UVT, lo normal es dividir en 12, pero usted podrá cambiar a menos tiempo, pero deberá llevar el control para que durante el año no se pase de 3800 UVT" sqref="J50"/>
    <dataValidation allowBlank="1" showInputMessage="1" showErrorMessage="1" promptTitle="Control de las 790 UVT  anual" prompt="Digite el número de meses que requiere controlar el límite de las 790 UVT anual.  Puede dejar en 12 meses y el límite lo establecerá de forma mensual o usarlo como crea conveniente junto con el control de la celda E71" sqref="J71"/>
    <dataValidation allowBlank="1" showInputMessage="1" showErrorMessage="1" prompt="En nuestro concepto, la deducción por dependientes adicional de 72 UVT aplica únicamente para la declaración anual de renta, no para retefuente. Lo anterior por la forma en que quedó redactada el art. de la Ley de reforma tributaria. Esperemos reglamento." sqref="F65:F66"/>
  </dataValidations>
  <printOptions/>
  <pageMargins left="0.1968503937007874" right="0.1968503937007874" top="0.3937007874015748" bottom="0.3937007874015748" header="0" footer="0"/>
  <pageSetup horizontalDpi="600" verticalDpi="600" orientation="landscape" scale="65" r:id="rId4"/>
  <drawing r:id="rId3"/>
  <legacyDrawing r:id="rId2"/>
</worksheet>
</file>

<file path=xl/worksheets/sheet4.xml><?xml version="1.0" encoding="utf-8"?>
<worksheet xmlns="http://schemas.openxmlformats.org/spreadsheetml/2006/main" xmlns:r="http://schemas.openxmlformats.org/officeDocument/2006/relationships">
  <sheetPr codeName="Hoja2"/>
  <dimension ref="B1:M29"/>
  <sheetViews>
    <sheetView showGridLines="0" defaultGridColor="0" zoomScale="115" zoomScaleNormal="115" zoomScalePageLayoutView="0" colorId="23" workbookViewId="0" topLeftCell="A1">
      <pane ySplit="4" topLeftCell="A5" activePane="bottomLeft" state="frozen"/>
      <selection pane="topLeft" activeCell="A1" sqref="A1"/>
      <selection pane="bottomLeft" activeCell="E11" sqref="E11"/>
    </sheetView>
  </sheetViews>
  <sheetFormatPr defaultColWidth="11.421875" defaultRowHeight="12.75" outlineLevelCol="1"/>
  <cols>
    <col min="1" max="1" width="0.85546875" style="0" customWidth="1"/>
    <col min="2" max="2" width="10.28125" style="0" customWidth="1"/>
    <col min="3" max="3" width="8.7109375" style="0" customWidth="1"/>
    <col min="4" max="4" width="11.28125" style="0" customWidth="1"/>
    <col min="5" max="5" width="51.28125" style="0" customWidth="1"/>
    <col min="6" max="6" width="5.140625" style="0" hidden="1" customWidth="1" outlineLevel="1"/>
    <col min="7" max="7" width="12.421875" style="0" hidden="1" customWidth="1" outlineLevel="1"/>
    <col min="8" max="8" width="17.28125" style="0" hidden="1" customWidth="1" outlineLevel="1"/>
    <col min="9" max="9" width="27.421875" style="0" customWidth="1" collapsed="1"/>
    <col min="11" max="11" width="13.421875" style="0" bestFit="1" customWidth="1"/>
  </cols>
  <sheetData>
    <row r="1" ht="5.25" customHeight="1">
      <c r="E1" s="6"/>
    </row>
    <row r="2" spans="2:8" ht="12" customHeight="1">
      <c r="B2" s="243"/>
      <c r="C2" s="243"/>
      <c r="D2" s="243"/>
      <c r="E2" s="244"/>
      <c r="F2" s="243"/>
      <c r="G2" s="243"/>
      <c r="H2" s="243"/>
    </row>
    <row r="3" spans="2:8" ht="15.75" customHeight="1">
      <c r="B3" s="257" t="s">
        <v>125</v>
      </c>
      <c r="C3" s="245"/>
      <c r="D3" s="245"/>
      <c r="E3" s="245"/>
      <c r="F3" s="263"/>
      <c r="G3" s="243"/>
      <c r="H3" s="243"/>
    </row>
    <row r="4" spans="2:8" ht="12" customHeight="1">
      <c r="B4" s="243"/>
      <c r="C4" s="243"/>
      <c r="D4" s="243"/>
      <c r="E4" s="244"/>
      <c r="F4" s="243"/>
      <c r="G4" s="243"/>
      <c r="H4" s="243"/>
    </row>
    <row r="5" ht="12.75" thickBot="1"/>
    <row r="6" spans="2:8" ht="14.25" thickBot="1">
      <c r="B6" s="425" t="s">
        <v>118</v>
      </c>
      <c r="C6" s="426"/>
      <c r="D6" s="426"/>
      <c r="E6" s="427"/>
      <c r="G6" s="264" t="s">
        <v>114</v>
      </c>
      <c r="H6" s="265">
        <f>+'% Retencion fija'!K14</f>
        <v>38004</v>
      </c>
    </row>
    <row r="7" spans="2:8" ht="15" customHeight="1">
      <c r="B7" s="7"/>
      <c r="C7" s="1"/>
      <c r="D7" s="1"/>
      <c r="E7" s="1"/>
      <c r="G7" s="264" t="s">
        <v>115</v>
      </c>
      <c r="H7" s="266">
        <f>+'% Retencion fija'!K76</f>
        <v>0</v>
      </c>
    </row>
    <row r="8" spans="2:5" ht="5.25" customHeight="1" thickBot="1">
      <c r="B8" s="1"/>
      <c r="C8" s="1"/>
      <c r="D8" s="1"/>
      <c r="E8" s="1"/>
    </row>
    <row r="9" spans="2:8" ht="14.25" customHeight="1">
      <c r="B9" s="423" t="s">
        <v>5</v>
      </c>
      <c r="C9" s="424"/>
      <c r="D9" s="430" t="s">
        <v>6</v>
      </c>
      <c r="E9" s="428" t="s">
        <v>4</v>
      </c>
      <c r="F9" s="421" t="s">
        <v>7</v>
      </c>
      <c r="G9" s="419" t="s">
        <v>13</v>
      </c>
      <c r="H9" s="419" t="s">
        <v>128</v>
      </c>
    </row>
    <row r="10" spans="2:8" ht="15" customHeight="1" thickBot="1">
      <c r="B10" s="273" t="s">
        <v>116</v>
      </c>
      <c r="C10" s="274" t="s">
        <v>117</v>
      </c>
      <c r="D10" s="431"/>
      <c r="E10" s="429"/>
      <c r="F10" s="422"/>
      <c r="G10" s="420"/>
      <c r="H10" s="420"/>
    </row>
    <row r="11" spans="2:8" ht="23.25" customHeight="1">
      <c r="B11" s="267" t="s">
        <v>2</v>
      </c>
      <c r="C11" s="268">
        <v>95</v>
      </c>
      <c r="D11" s="258">
        <v>0</v>
      </c>
      <c r="E11" s="259">
        <v>0</v>
      </c>
      <c r="F11" s="260"/>
      <c r="G11" s="260"/>
      <c r="H11" s="261"/>
    </row>
    <row r="12" spans="2:8" ht="24.75">
      <c r="B12" s="269">
        <v>95</v>
      </c>
      <c r="C12" s="270">
        <v>150</v>
      </c>
      <c r="D12" s="258">
        <v>0.19</v>
      </c>
      <c r="E12" s="262" t="s">
        <v>108</v>
      </c>
      <c r="F12" s="260"/>
      <c r="G12" s="260" t="b">
        <f aca="true" t="shared" si="0" ref="G12:G17">AND($H$7&gt;=B12,$H$7&lt;C12)</f>
        <v>0</v>
      </c>
      <c r="H12" s="261">
        <f>IF(G12=TRUE,($H$7-B12)*D12,0)</f>
        <v>0</v>
      </c>
    </row>
    <row r="13" spans="2:13" ht="24.75">
      <c r="B13" s="269">
        <v>150</v>
      </c>
      <c r="C13" s="270">
        <v>360</v>
      </c>
      <c r="D13" s="258">
        <v>0.28</v>
      </c>
      <c r="E13" s="262" t="s">
        <v>109</v>
      </c>
      <c r="F13" s="260">
        <v>10</v>
      </c>
      <c r="G13" s="260" t="b">
        <f t="shared" si="0"/>
        <v>0</v>
      </c>
      <c r="H13" s="261">
        <f>IF(G13=TRUE,($H$7-B13)*D13+F13,0)</f>
        <v>0</v>
      </c>
      <c r="J13" s="241"/>
      <c r="K13" s="240"/>
      <c r="M13" s="241"/>
    </row>
    <row r="14" spans="2:8" ht="25.5" thickBot="1">
      <c r="B14" s="271">
        <v>360</v>
      </c>
      <c r="C14" s="272">
        <v>640</v>
      </c>
      <c r="D14" s="258">
        <v>0.33</v>
      </c>
      <c r="E14" s="262" t="s">
        <v>110</v>
      </c>
      <c r="F14" s="260">
        <v>69</v>
      </c>
      <c r="G14" s="260" t="b">
        <f t="shared" si="0"/>
        <v>0</v>
      </c>
      <c r="H14" s="261">
        <f>IF(G14=TRUE,($H$7-B14)*D14+F14,0)</f>
        <v>0</v>
      </c>
    </row>
    <row r="15" spans="2:9" ht="25.5" thickBot="1">
      <c r="B15" s="271">
        <v>640</v>
      </c>
      <c r="C15" s="272">
        <v>945</v>
      </c>
      <c r="D15" s="258">
        <v>0.35</v>
      </c>
      <c r="E15" s="262" t="s">
        <v>111</v>
      </c>
      <c r="F15" s="260">
        <v>162</v>
      </c>
      <c r="G15" s="260" t="b">
        <f t="shared" si="0"/>
        <v>0</v>
      </c>
      <c r="H15" s="261">
        <f>IF(G15=TRUE,($H$7-B15)*D15+F15,0)</f>
        <v>0</v>
      </c>
      <c r="I15" s="240"/>
    </row>
    <row r="16" spans="2:8" ht="25.5" thickBot="1">
      <c r="B16" s="271">
        <v>945</v>
      </c>
      <c r="C16" s="272">
        <v>2300</v>
      </c>
      <c r="D16" s="258">
        <v>0.37</v>
      </c>
      <c r="E16" s="262" t="s">
        <v>112</v>
      </c>
      <c r="F16" s="260">
        <v>268</v>
      </c>
      <c r="G16" s="260" t="b">
        <f t="shared" si="0"/>
        <v>0</v>
      </c>
      <c r="H16" s="261">
        <f>IF(G16=TRUE,($H$7-B16)*D16+F16,0)</f>
        <v>0</v>
      </c>
    </row>
    <row r="17" spans="2:8" ht="25.5" thickBot="1">
      <c r="B17" s="271">
        <v>2300</v>
      </c>
      <c r="C17" s="272" t="s">
        <v>3</v>
      </c>
      <c r="D17" s="258">
        <v>0.39</v>
      </c>
      <c r="E17" s="262" t="s">
        <v>113</v>
      </c>
      <c r="F17" s="260">
        <v>770</v>
      </c>
      <c r="G17" s="260" t="b">
        <f t="shared" si="0"/>
        <v>0</v>
      </c>
      <c r="H17" s="261">
        <f>IF(G17=TRUE,($H$7-B17)*D17+F17,0)</f>
        <v>0</v>
      </c>
    </row>
    <row r="18" spans="2:8" ht="12">
      <c r="B18" s="10"/>
      <c r="C18" s="10"/>
      <c r="D18" s="10"/>
      <c r="E18" s="10"/>
      <c r="F18" s="10"/>
      <c r="G18" s="10"/>
      <c r="H18" s="261">
        <f>SUM(H12:H17)</f>
        <v>0</v>
      </c>
    </row>
    <row r="19" ht="12">
      <c r="F19" s="2"/>
    </row>
    <row r="25" ht="12">
      <c r="D25" s="4"/>
    </row>
    <row r="29" spans="3:4" ht="12">
      <c r="C29" s="5"/>
      <c r="D29" s="3"/>
    </row>
  </sheetData>
  <sheetProtection password="CAE7" sheet="1"/>
  <mergeCells count="7">
    <mergeCell ref="H9:H10"/>
    <mergeCell ref="F9:F10"/>
    <mergeCell ref="B9:C9"/>
    <mergeCell ref="B6:E6"/>
    <mergeCell ref="E9:E10"/>
    <mergeCell ref="D9:D10"/>
    <mergeCell ref="G9:G10"/>
  </mergeCells>
  <printOptions horizontalCentered="1" verticalCentered="1"/>
  <pageMargins left="0.7874015748031497" right="0.7874015748031497" top="0.984251968503937" bottom="0.984251968503937" header="0" footer="0"/>
  <pageSetup horizontalDpi="600" verticalDpi="600" orientation="landscape" paperSize="119" scale="90" r:id="rId2"/>
  <drawing r:id="rId1"/>
</worksheet>
</file>

<file path=xl/worksheets/sheet5.xml><?xml version="1.0" encoding="utf-8"?>
<worksheet xmlns="http://schemas.openxmlformats.org/spreadsheetml/2006/main" xmlns:r="http://schemas.openxmlformats.org/officeDocument/2006/relationships">
  <sheetPr codeName="Hoja4"/>
  <dimension ref="B1:G66"/>
  <sheetViews>
    <sheetView showGridLines="0" zoomScaleSheetLayoutView="100" workbookViewId="0" topLeftCell="A1">
      <selection activeCell="D16" sqref="D16:E16"/>
    </sheetView>
  </sheetViews>
  <sheetFormatPr defaultColWidth="0" defaultRowHeight="0" customHeight="1" zeroHeight="1"/>
  <cols>
    <col min="1" max="1" width="0.42578125" style="11" customWidth="1"/>
    <col min="2" max="2" width="4.00390625" style="11" customWidth="1"/>
    <col min="3" max="3" width="2.421875" style="11" customWidth="1"/>
    <col min="4" max="4" width="44.7109375" style="11" customWidth="1"/>
    <col min="5" max="5" width="29.57421875" style="11" customWidth="1"/>
    <col min="6" max="6" width="15.28125" style="51" customWidth="1"/>
    <col min="7" max="7" width="0.9921875" style="51" customWidth="1"/>
    <col min="8" max="8" width="0" style="11" hidden="1" customWidth="1"/>
    <col min="9" max="9" width="30.8515625" style="11" hidden="1" customWidth="1"/>
    <col min="10" max="16384" width="0" style="11" hidden="1" customWidth="1"/>
  </cols>
  <sheetData>
    <row r="1" spans="4:7" s="12" customFormat="1" ht="13.5" customHeight="1">
      <c r="D1" s="85" t="s">
        <v>95</v>
      </c>
      <c r="E1" s="75"/>
      <c r="F1" s="76"/>
      <c r="G1" s="76"/>
    </row>
    <row r="2" spans="4:7" s="12" customFormat="1" ht="13.5" customHeight="1">
      <c r="D2" s="308" t="str">
        <f>+'% Retencion fija'!E11</f>
        <v>EMPRESA DE EJEMPLO</v>
      </c>
      <c r="E2" s="196" t="str">
        <f>+'% Retencion fija'!E3</f>
        <v>   PROCEDIMIENTO N.2  </v>
      </c>
      <c r="G2" s="76"/>
    </row>
    <row r="3" spans="4:7" s="12" customFormat="1" ht="13.5" customHeight="1">
      <c r="D3" s="309">
        <f>+'% Retencion fija'!E12</f>
        <v>0</v>
      </c>
      <c r="E3" s="306" t="str">
        <f>+'% Retencion fija'!B15</f>
        <v>Fecha del cálculo del % Fijo</v>
      </c>
      <c r="F3" s="306" t="str">
        <f>+'% Retencion fija'!E15</f>
        <v>Diciembre de 2022</v>
      </c>
      <c r="G3" s="76"/>
    </row>
    <row r="4" spans="4:7" s="12" customFormat="1" ht="13.5" customHeight="1">
      <c r="D4" s="309">
        <f>+'% Retencion fija'!E13</f>
        <v>0</v>
      </c>
      <c r="E4" s="197"/>
      <c r="F4" s="76"/>
      <c r="G4" s="76"/>
    </row>
    <row r="5" spans="6:7" s="12" customFormat="1" ht="6" customHeight="1" thickBot="1">
      <c r="F5" s="76"/>
      <c r="G5" s="76"/>
    </row>
    <row r="6" spans="2:7" s="12" customFormat="1" ht="14.25" thickBot="1">
      <c r="B6" s="432" t="str">
        <f>+'% Retencion fija'!D19</f>
        <v>Conceptos</v>
      </c>
      <c r="C6" s="433"/>
      <c r="D6" s="433"/>
      <c r="E6" s="434"/>
      <c r="F6" s="310" t="str">
        <f>+'% Retencion fija'!K17</f>
        <v>Depuración</v>
      </c>
      <c r="G6" s="81"/>
    </row>
    <row r="7" spans="4:7" s="12" customFormat="1" ht="6.75" customHeight="1" thickBot="1">
      <c r="D7" s="75"/>
      <c r="E7" s="75"/>
      <c r="F7" s="82"/>
      <c r="G7" s="82"/>
    </row>
    <row r="8" spans="2:7" s="12" customFormat="1" ht="14.25" customHeight="1" thickBot="1">
      <c r="B8" s="83">
        <v>1</v>
      </c>
      <c r="C8" s="84"/>
      <c r="D8" s="85" t="str">
        <f>+'% Retencion fija'!D21</f>
        <v>Total pagos laborales en el periodo</v>
      </c>
      <c r="E8" s="85"/>
      <c r="F8" s="76"/>
      <c r="G8" s="76"/>
    </row>
    <row r="9" spans="4:7" s="12" customFormat="1" ht="12.75" customHeight="1">
      <c r="D9" s="435" t="str">
        <f>+'% Retencion fija'!D22</f>
        <v>Sueldos</v>
      </c>
      <c r="E9" s="436"/>
      <c r="F9" s="87">
        <f>+'% Retencion fija'!K22</f>
        <v>0</v>
      </c>
      <c r="G9" s="89"/>
    </row>
    <row r="10" spans="2:7" s="12" customFormat="1" ht="12.75" customHeight="1">
      <c r="B10" s="90"/>
      <c r="D10" s="435" t="str">
        <f>+'% Retencion fija'!D23</f>
        <v>Auxilio de transporte</v>
      </c>
      <c r="E10" s="436"/>
      <c r="F10" s="87">
        <f>+'% Retencion fija'!K23</f>
        <v>0</v>
      </c>
      <c r="G10" s="89"/>
    </row>
    <row r="11" spans="2:7" s="12" customFormat="1" ht="12.75" customHeight="1">
      <c r="B11" s="90"/>
      <c r="D11" s="435" t="str">
        <f>+'% Retencion fija'!D24</f>
        <v>Horas extras y otros recargos</v>
      </c>
      <c r="E11" s="436"/>
      <c r="F11" s="87">
        <f>+'% Retencion fija'!K24</f>
        <v>0</v>
      </c>
      <c r="G11" s="89"/>
    </row>
    <row r="12" spans="2:7" s="12" customFormat="1" ht="12.75" customHeight="1">
      <c r="B12" s="90"/>
      <c r="D12" s="435" t="str">
        <f>+'% Retencion fija'!D25</f>
        <v>Bonificaciones</v>
      </c>
      <c r="E12" s="436"/>
      <c r="F12" s="87">
        <f>+'% Retencion fija'!K25</f>
        <v>0</v>
      </c>
      <c r="G12" s="89"/>
    </row>
    <row r="13" spans="2:7" s="12" customFormat="1" ht="12.75" customHeight="1">
      <c r="B13" s="90"/>
      <c r="D13" s="435" t="str">
        <f>+'% Retencion fija'!D26</f>
        <v>Comisiones</v>
      </c>
      <c r="E13" s="436"/>
      <c r="F13" s="87">
        <f>+'% Retencion fija'!K26</f>
        <v>0</v>
      </c>
      <c r="G13" s="89"/>
    </row>
    <row r="14" spans="2:7" s="12" customFormat="1" ht="12.75" customHeight="1">
      <c r="B14" s="90"/>
      <c r="D14" s="435" t="str">
        <f>+'% Retencion fija'!D27</f>
        <v>Viáticos</v>
      </c>
      <c r="E14" s="436"/>
      <c r="F14" s="87">
        <f>+'% Retencion fija'!K27</f>
        <v>0</v>
      </c>
      <c r="G14" s="89"/>
    </row>
    <row r="15" spans="2:7" s="12" customFormat="1" ht="12.75" customHeight="1">
      <c r="B15" s="90"/>
      <c r="D15" s="435" t="str">
        <f>+'% Retencion fija'!D28</f>
        <v>Prestaciones extralegales</v>
      </c>
      <c r="E15" s="436"/>
      <c r="F15" s="87">
        <f>+'% Retencion fija'!K28</f>
        <v>0</v>
      </c>
      <c r="G15" s="89"/>
    </row>
    <row r="16" spans="2:7" s="12" customFormat="1" ht="12.75" customHeight="1">
      <c r="B16" s="90"/>
      <c r="D16" s="435" t="str">
        <f>+'% Retencion fija'!D29</f>
        <v>Prima de servicios</v>
      </c>
      <c r="E16" s="436"/>
      <c r="F16" s="87">
        <f>+'% Retencion fija'!K29</f>
        <v>0</v>
      </c>
      <c r="G16" s="89"/>
    </row>
    <row r="17" spans="2:7" s="12" customFormat="1" ht="12.75" customHeight="1">
      <c r="B17" s="90"/>
      <c r="D17" s="435" t="str">
        <f>+'% Retencion fija'!D30</f>
        <v>Vacaciones</v>
      </c>
      <c r="E17" s="436"/>
      <c r="F17" s="87">
        <f>+'% Retencion fija'!K30</f>
        <v>0</v>
      </c>
      <c r="G17" s="89"/>
    </row>
    <row r="18" spans="2:7" s="12" customFormat="1" ht="12.75" customHeight="1">
      <c r="B18" s="90"/>
      <c r="D18" s="435" t="str">
        <f>+'% Retencion fija'!D31</f>
        <v>Indemnizaciones (accidente de trabajo, maternidad, enfermedad)</v>
      </c>
      <c r="E18" s="436"/>
      <c r="F18" s="87">
        <f>+'% Retencion fija'!K31</f>
        <v>0</v>
      </c>
      <c r="G18" s="89"/>
    </row>
    <row r="19" spans="2:7" s="12" customFormat="1" ht="12.75" customHeight="1">
      <c r="B19" s="90"/>
      <c r="D19" s="435" t="str">
        <f>+'% Retencion fija'!D32</f>
        <v>Cesantías efectivamente pagadas al trabajador</v>
      </c>
      <c r="E19" s="436"/>
      <c r="F19" s="87">
        <f>+'% Retencion fija'!K32</f>
        <v>0</v>
      </c>
      <c r="G19" s="89"/>
    </row>
    <row r="20" spans="2:7" s="12" customFormat="1" ht="12.75" customHeight="1">
      <c r="B20" s="90"/>
      <c r="D20" s="435" t="str">
        <f>+'% Retencion fija'!D33</f>
        <v>Intereses de cesantías</v>
      </c>
      <c r="E20" s="436"/>
      <c r="F20" s="87">
        <f>+'% Retencion fija'!K33</f>
        <v>0</v>
      </c>
      <c r="G20" s="89"/>
    </row>
    <row r="21" spans="2:7" s="12" customFormat="1" ht="12.75" customHeight="1">
      <c r="B21" s="90"/>
      <c r="D21" s="437" t="str">
        <f>+'% Retencion fija'!D35</f>
        <v>Total ingresos del periodo</v>
      </c>
      <c r="E21" s="438"/>
      <c r="F21" s="92">
        <f>SUM(F9:F20)</f>
        <v>0</v>
      </c>
      <c r="G21" s="89"/>
    </row>
    <row r="22" spans="2:7" s="12" customFormat="1" ht="5.25" customHeight="1" thickBot="1">
      <c r="B22" s="90"/>
      <c r="F22" s="76"/>
      <c r="G22" s="76"/>
    </row>
    <row r="23" spans="2:7" s="12" customFormat="1" ht="24" customHeight="1" thickBot="1">
      <c r="B23" s="83">
        <v>2</v>
      </c>
      <c r="D23" s="443" t="str">
        <f>+'% Retencion fija'!D37</f>
        <v>Menos ingresos no constitutivos de renta ni ganancia ocasional del periodo (diciembre a noviembre, o Junio a mayo)</v>
      </c>
      <c r="E23" s="443"/>
      <c r="F23" s="443"/>
      <c r="G23" s="76"/>
    </row>
    <row r="24" spans="2:7" s="12" customFormat="1" ht="12">
      <c r="B24" s="90"/>
      <c r="D24" s="439" t="str">
        <f>+'% Retencion fija'!D38</f>
        <v>Aportes obligatorios a Fondos de Pensiones (art. 55 ET)</v>
      </c>
      <c r="E24" s="440"/>
      <c r="F24" s="87">
        <f>+'% Retencion fija'!K38</f>
        <v>0</v>
      </c>
      <c r="G24" s="89"/>
    </row>
    <row r="25" spans="2:7" s="12" customFormat="1" ht="12">
      <c r="B25" s="90"/>
      <c r="D25" s="439" t="str">
        <f>+'% Retencion fija'!D39</f>
        <v>Fondo de Solidaridad Pensional</v>
      </c>
      <c r="E25" s="440"/>
      <c r="F25" s="87">
        <f>+'% Retencion fija'!K39</f>
        <v>0</v>
      </c>
      <c r="G25" s="89"/>
    </row>
    <row r="26" spans="2:7" s="12" customFormat="1" ht="12">
      <c r="B26" s="90"/>
      <c r="D26" s="439" t="str">
        <f>+'% Retencion fija'!D40</f>
        <v>Aportes voluntarios a fondos de pensiones obligatorios (Régimen ahorro individual) (Art. 55 ET)</v>
      </c>
      <c r="E26" s="440"/>
      <c r="F26" s="87">
        <f>+'% Retencion fija'!K40</f>
        <v>0</v>
      </c>
      <c r="G26" s="89"/>
    </row>
    <row r="27" spans="2:7" s="12" customFormat="1" ht="12">
      <c r="B27" s="90"/>
      <c r="D27" s="439" t="str">
        <f>+'% Retencion fija'!D41</f>
        <v>Aportes obligatorios al sistema de salud (art. 56 ET)</v>
      </c>
      <c r="E27" s="440"/>
      <c r="F27" s="87">
        <f>+'% Retencion fija'!K41</f>
        <v>0</v>
      </c>
      <c r="G27" s="89"/>
    </row>
    <row r="28" spans="2:7" s="12" customFormat="1" ht="12.75">
      <c r="B28" s="90"/>
      <c r="D28" s="441" t="str">
        <f>+'% Retencion fija'!D42</f>
        <v>Total ingresos no constitutivos de renta ni ganancia ocasional</v>
      </c>
      <c r="E28" s="442"/>
      <c r="F28" s="92">
        <f>SUM(F24:F27)</f>
        <v>0</v>
      </c>
      <c r="G28" s="89"/>
    </row>
    <row r="29" spans="2:7" s="12" customFormat="1" ht="12">
      <c r="B29" s="90"/>
      <c r="D29" s="98"/>
      <c r="E29" s="98"/>
      <c r="F29" s="89"/>
      <c r="G29" s="89"/>
    </row>
    <row r="30" spans="2:7" s="12" customFormat="1" ht="12.75">
      <c r="B30" s="90"/>
      <c r="D30" s="437" t="str">
        <f>+'% Retencion fija'!D44</f>
        <v>Sub total  (A)</v>
      </c>
      <c r="E30" s="438"/>
      <c r="F30" s="92">
        <f>+F21-F28</f>
        <v>0</v>
      </c>
      <c r="G30" s="89"/>
    </row>
    <row r="31" spans="2:7" s="12" customFormat="1" ht="5.25" customHeight="1" thickBot="1">
      <c r="B31" s="90"/>
      <c r="D31" s="50"/>
      <c r="E31" s="50"/>
      <c r="F31" s="76"/>
      <c r="G31" s="76"/>
    </row>
    <row r="32" spans="2:7" s="12" customFormat="1" ht="14.25" customHeight="1" thickBot="1">
      <c r="B32" s="83">
        <v>3</v>
      </c>
      <c r="D32" s="95" t="str">
        <f>+'% Retencion fija'!D46</f>
        <v>Menos rentas exentas del periodo (diciembre a noviembre, o Junio a mayo) (Art. 206 ET)</v>
      </c>
      <c r="E32" s="95"/>
      <c r="F32" s="76"/>
      <c r="G32" s="76"/>
    </row>
    <row r="33" spans="4:7" s="12" customFormat="1" ht="12.75" customHeight="1">
      <c r="D33" s="444" t="str">
        <f>+'% Retencion fija'!D47</f>
        <v>Aportes a Fondos de Pensiones Voluntarias (art. 126-1 ET)</v>
      </c>
      <c r="E33" s="445"/>
      <c r="F33" s="448">
        <f>+'% Retencion fija'!K47</f>
        <v>0</v>
      </c>
      <c r="G33" s="89"/>
    </row>
    <row r="34" spans="4:7" s="12" customFormat="1" ht="12.75" customHeight="1">
      <c r="D34" s="444" t="str">
        <f>+'% Retencion fija'!D48</f>
        <v>Aportes con destino a cuentas AFC, AVC (art 126-4 ET)</v>
      </c>
      <c r="E34" s="445"/>
      <c r="F34" s="449"/>
      <c r="G34" s="89"/>
    </row>
    <row r="35" spans="4:7" s="12" customFormat="1" ht="12.75" customHeight="1" hidden="1">
      <c r="D35" s="444">
        <f>+'% Retencion fija'!D49</f>
        <v>0</v>
      </c>
      <c r="E35" s="445"/>
      <c r="F35" s="307"/>
      <c r="G35" s="89"/>
    </row>
    <row r="36" spans="4:7" s="12" customFormat="1" ht="12.75" customHeight="1">
      <c r="D36" s="444" t="str">
        <f>+'% Retencion fija'!D50</f>
        <v>Indemnizaciones por accidentes de trabajo o enfermedad (art 206 ET Num 1)</v>
      </c>
      <c r="E36" s="445"/>
      <c r="F36" s="307">
        <f>+'% Retencion fija'!K50</f>
        <v>0</v>
      </c>
      <c r="G36" s="89"/>
    </row>
    <row r="37" spans="4:7" s="12" customFormat="1" ht="12.75" customHeight="1" hidden="1">
      <c r="D37" s="444">
        <f>+'% Retencion fija'!D51</f>
        <v>0</v>
      </c>
      <c r="E37" s="445"/>
      <c r="F37" s="307">
        <f>+'% Retencion fija'!K51</f>
        <v>0</v>
      </c>
      <c r="G37" s="89"/>
    </row>
    <row r="38" spans="4:7" s="12" customFormat="1" ht="12.75" customHeight="1">
      <c r="D38" s="444" t="str">
        <f>+'% Retencion fija'!D52</f>
        <v>Indemnizaciones proteccion a la maternidad (art 206 ET Num 2)</v>
      </c>
      <c r="E38" s="445"/>
      <c r="F38" s="307">
        <f>+'% Retencion fija'!K52</f>
        <v>0</v>
      </c>
      <c r="G38" s="89"/>
    </row>
    <row r="39" spans="4:7" s="12" customFormat="1" ht="12.75" customHeight="1">
      <c r="D39" s="444" t="str">
        <f>+'% Retencion fija'!D53</f>
        <v>Gastos de entierro del trabajador (art 206 ET Num 3)</v>
      </c>
      <c r="E39" s="445"/>
      <c r="F39" s="307">
        <f>+'% Retencion fija'!K53</f>
        <v>0</v>
      </c>
      <c r="G39" s="89"/>
    </row>
    <row r="40" spans="2:7" s="12" customFormat="1" ht="12">
      <c r="B40" s="90"/>
      <c r="D40" s="444" t="str">
        <f>+'% Retencion fija'!D54</f>
        <v>Otras rentas exentas (Art. 206 ET)</v>
      </c>
      <c r="E40" s="445"/>
      <c r="F40" s="307">
        <f>+'% Retencion fija'!K54</f>
        <v>0</v>
      </c>
      <c r="G40" s="89"/>
    </row>
    <row r="41" spans="2:7" s="12" customFormat="1" ht="12.75">
      <c r="B41" s="90"/>
      <c r="D41" s="437" t="str">
        <f>+'% Retencion fija'!D55</f>
        <v>Total rentas exentas (Art. 206 ET)</v>
      </c>
      <c r="E41" s="438"/>
      <c r="F41" s="92">
        <f>SUM(F33:F40)</f>
        <v>0</v>
      </c>
      <c r="G41" s="89"/>
    </row>
    <row r="42" spans="2:7" s="12" customFormat="1" ht="4.5" customHeight="1">
      <c r="B42" s="90"/>
      <c r="F42" s="76"/>
      <c r="G42" s="76"/>
    </row>
    <row r="43" spans="2:7" s="12" customFormat="1" ht="12.75">
      <c r="B43" s="90"/>
      <c r="D43" s="437" t="str">
        <f>+'% Retencion fija'!D57</f>
        <v>Sub total  (B)</v>
      </c>
      <c r="E43" s="438"/>
      <c r="F43" s="92">
        <f>+F30-F41</f>
        <v>0</v>
      </c>
      <c r="G43" s="89"/>
    </row>
    <row r="44" spans="2:7" s="12" customFormat="1" ht="7.5" customHeight="1" thickBot="1">
      <c r="B44" s="90"/>
      <c r="F44" s="76"/>
      <c r="G44" s="76"/>
    </row>
    <row r="45" spans="2:7" s="12" customFormat="1" ht="15.75" thickBot="1">
      <c r="B45" s="83">
        <v>4</v>
      </c>
      <c r="D45" s="95" t="str">
        <f>+'% Retencion fija'!D59</f>
        <v>Menos deducciones del periodo (diciembre a noviembre, o Junio a mayo)</v>
      </c>
      <c r="E45" s="95"/>
      <c r="F45" s="76"/>
      <c r="G45" s="76"/>
    </row>
    <row r="46" spans="2:7" s="12" customFormat="1" ht="14.25" customHeight="1">
      <c r="B46" s="104"/>
      <c r="D46" s="446" t="str">
        <f>+'% Retencion fija'!D60</f>
        <v>Intereses por prestamos de vivienda (Incluido Leasing Habitacional)</v>
      </c>
      <c r="E46" s="447"/>
      <c r="F46" s="87">
        <f>+'% Retencion fija'!K60</f>
        <v>0</v>
      </c>
      <c r="G46" s="89"/>
    </row>
    <row r="47" spans="4:7" s="12" customFormat="1" ht="12.75" customHeight="1">
      <c r="D47" s="446" t="str">
        <f>+'% Retencion fija'!D61</f>
        <v>Pagos por salud prepagada, Plan complementario de salud, o seguros de salud (art 387 ET)</v>
      </c>
      <c r="E47" s="447"/>
      <c r="F47" s="87">
        <f>+'% Retencion fija'!K61</f>
        <v>0</v>
      </c>
      <c r="G47" s="89"/>
    </row>
    <row r="48" spans="4:7" s="12" customFormat="1" ht="12.75" customHeight="1">
      <c r="D48" s="446" t="str">
        <f>+'% Retencion fija'!D62</f>
        <v>Seleccione "SI" si tiene derecho a dependientes (Art 387 ET)</v>
      </c>
      <c r="E48" s="447"/>
      <c r="F48" s="87">
        <f>+'% Retencion fija'!K62</f>
        <v>0</v>
      </c>
      <c r="G48" s="89"/>
    </row>
    <row r="49" spans="4:7" s="12" customFormat="1" ht="12.75" customHeight="1" hidden="1">
      <c r="D49" s="446">
        <f>+'% Retencion fija'!D63</f>
        <v>0</v>
      </c>
      <c r="E49" s="447"/>
      <c r="F49" s="87">
        <f>+'% Retencion fija'!K63</f>
        <v>0</v>
      </c>
      <c r="G49" s="89"/>
    </row>
    <row r="50" spans="4:7" s="12" customFormat="1" ht="12.75">
      <c r="D50" s="437" t="str">
        <f>+'% Retencion fija'!D64</f>
        <v>Total deducciones</v>
      </c>
      <c r="E50" s="438"/>
      <c r="F50" s="92">
        <f>SUM(F46:F49)</f>
        <v>0</v>
      </c>
      <c r="G50" s="89"/>
    </row>
    <row r="51" spans="4:7" s="12" customFormat="1" ht="7.5" customHeight="1">
      <c r="D51" s="189"/>
      <c r="E51" s="189"/>
      <c r="F51" s="103"/>
      <c r="G51" s="89"/>
    </row>
    <row r="52" spans="4:7" s="12" customFormat="1" ht="12.75">
      <c r="D52" s="437" t="str">
        <f>+'% Retencion fija'!D66</f>
        <v>Subtotal  (C)</v>
      </c>
      <c r="E52" s="438"/>
      <c r="F52" s="92">
        <f>+F43-F50</f>
        <v>0</v>
      </c>
      <c r="G52" s="89"/>
    </row>
    <row r="53" spans="4:7" s="12" customFormat="1" ht="4.5" customHeight="1" thickBot="1">
      <c r="D53" s="50"/>
      <c r="E53" s="50"/>
      <c r="F53" s="103"/>
      <c r="G53" s="89"/>
    </row>
    <row r="54" spans="6:7" s="12" customFormat="1" ht="12.75" hidden="1" thickBot="1">
      <c r="F54" s="76"/>
      <c r="G54" s="76"/>
    </row>
    <row r="55" spans="2:7" s="12" customFormat="1" ht="15.75" thickBot="1">
      <c r="B55" s="83">
        <v>5</v>
      </c>
      <c r="D55" s="105" t="str">
        <f>+'% Retencion fija'!D68</f>
        <v>Menos renta exenta del 25% del Subtotal (c) (Art. 3 206 ET literal 10)</v>
      </c>
      <c r="E55" s="105"/>
      <c r="F55" s="92">
        <f>+'% Retencion fija'!K68</f>
        <v>0</v>
      </c>
      <c r="G55" s="76"/>
    </row>
    <row r="56" spans="6:7" s="12" customFormat="1" ht="7.5" customHeight="1">
      <c r="F56" s="76"/>
      <c r="G56" s="76"/>
    </row>
    <row r="57" spans="4:7" s="12" customFormat="1" ht="12.75">
      <c r="D57" s="453" t="str">
        <f>+'% Retencion fija'!D70</f>
        <v>LIMITE GENERAL DE RENTAS EXENTAS Y DEDUCCIONES   40% DEL INGRESO NETO Y HASTA 5.040 UVT</v>
      </c>
      <c r="E57" s="453"/>
      <c r="F57" s="92">
        <f>+'% Retencion fija'!K70</f>
        <v>0</v>
      </c>
      <c r="G57" s="76"/>
    </row>
    <row r="58" spans="4:7" s="12" customFormat="1" ht="6" customHeight="1">
      <c r="D58" s="450"/>
      <c r="E58" s="450"/>
      <c r="F58" s="103"/>
      <c r="G58" s="76"/>
    </row>
    <row r="59" spans="6:7" s="12" customFormat="1" ht="7.5" customHeight="1">
      <c r="F59" s="76"/>
      <c r="G59" s="76"/>
    </row>
    <row r="60" spans="4:7" s="12" customFormat="1" ht="12.75">
      <c r="D60" s="451" t="str">
        <f>+'% Retencion fija'!D72</f>
        <v>BASE GRAVABLE DE CALCULO </v>
      </c>
      <c r="E60" s="452"/>
      <c r="F60" s="92">
        <f>+'% Retencion fija'!K72</f>
        <v>0</v>
      </c>
      <c r="G60" s="76"/>
    </row>
    <row r="61" spans="6:7" s="12" customFormat="1" ht="7.5" customHeight="1">
      <c r="F61" s="76"/>
      <c r="G61" s="76"/>
    </row>
    <row r="62" spans="4:7" s="12" customFormat="1" ht="15" customHeight="1">
      <c r="D62" s="437" t="str">
        <f>+'% Retencion fija'!D74</f>
        <v>BASE GRAVABLE PROMEDIO (Base dividida en 13 o números de meses cuando es inferior a un año)</v>
      </c>
      <c r="E62" s="438"/>
      <c r="F62" s="92">
        <f>+'% Retencion fija'!K74</f>
        <v>0</v>
      </c>
      <c r="G62" s="89"/>
    </row>
    <row r="63" spans="6:7" s="12" customFormat="1" ht="5.25" customHeight="1">
      <c r="F63" s="76"/>
      <c r="G63" s="76"/>
    </row>
    <row r="64" spans="4:7" s="12" customFormat="1" ht="15" customHeight="1">
      <c r="D64" s="437" t="str">
        <f>+'% Retencion fija'!F76</f>
        <v>Ingreso mensual promedio expresados en UVT</v>
      </c>
      <c r="E64" s="438"/>
      <c r="F64" s="106">
        <f>+'% Retencion fija'!K76</f>
        <v>0</v>
      </c>
      <c r="G64" s="107"/>
    </row>
    <row r="65" spans="4:7" s="12" customFormat="1" ht="3" customHeight="1">
      <c r="D65" s="76"/>
      <c r="E65" s="76"/>
      <c r="F65" s="62"/>
      <c r="G65" s="62"/>
    </row>
    <row r="66" spans="4:7" s="12" customFormat="1" ht="15" customHeight="1">
      <c r="D66" s="437" t="str">
        <f>+'% Retencion fija'!F78</f>
        <v>Porcentaje fijo de retención Art 383 ET. A utilizar en el siguiente semestre</v>
      </c>
      <c r="E66" s="438"/>
      <c r="F66" s="108">
        <f>+'% Retencion fija'!K78</f>
        <v>0</v>
      </c>
      <c r="G66" s="109"/>
    </row>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sheetData>
  <sheetProtection password="CAE7" sheet="1"/>
  <mergeCells count="44">
    <mergeCell ref="F33:F34"/>
    <mergeCell ref="D43:E43"/>
    <mergeCell ref="D58:E58"/>
    <mergeCell ref="D60:E60"/>
    <mergeCell ref="D64:E64"/>
    <mergeCell ref="D57:E57"/>
    <mergeCell ref="D62:E62"/>
    <mergeCell ref="D46:E46"/>
    <mergeCell ref="D47:E47"/>
    <mergeCell ref="D48:E48"/>
    <mergeCell ref="D37:E37"/>
    <mergeCell ref="D38:E38"/>
    <mergeCell ref="D50:E50"/>
    <mergeCell ref="D52:E52"/>
    <mergeCell ref="D39:E39"/>
    <mergeCell ref="D40:E40"/>
    <mergeCell ref="D41:E41"/>
    <mergeCell ref="D49:E49"/>
    <mergeCell ref="D27:E27"/>
    <mergeCell ref="D28:E28"/>
    <mergeCell ref="D30:E30"/>
    <mergeCell ref="D23:F23"/>
    <mergeCell ref="D24:E24"/>
    <mergeCell ref="D66:E66"/>
    <mergeCell ref="D33:E33"/>
    <mergeCell ref="D34:E34"/>
    <mergeCell ref="D35:E35"/>
    <mergeCell ref="D36:E36"/>
    <mergeCell ref="D11:E11"/>
    <mergeCell ref="D12:E12"/>
    <mergeCell ref="D17:E17"/>
    <mergeCell ref="D18:E18"/>
    <mergeCell ref="D25:E25"/>
    <mergeCell ref="D26:E26"/>
    <mergeCell ref="B6:E6"/>
    <mergeCell ref="D19:E19"/>
    <mergeCell ref="D21:E21"/>
    <mergeCell ref="D13:E13"/>
    <mergeCell ref="D14:E14"/>
    <mergeCell ref="D15:E15"/>
    <mergeCell ref="D16:E16"/>
    <mergeCell ref="D20:E20"/>
    <mergeCell ref="D9:E9"/>
    <mergeCell ref="D10:E10"/>
  </mergeCells>
  <printOptions/>
  <pageMargins left="0.7086614173228347" right="0.7086614173228347" top="0.35433070866141736" bottom="0.35433070866141736" header="0.31496062992125984" footer="0.31496062992125984"/>
  <pageSetup horizontalDpi="300" verticalDpi="300" orientation="portrait" scale="95" r:id="rId2"/>
  <headerFooter>
    <oddFooter>&amp;CPorcentaje Fijo Proc-2&amp;Rwww.consultorcontable.com</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H68"/>
  <sheetViews>
    <sheetView showGridLines="0" zoomScalePageLayoutView="0" workbookViewId="0" topLeftCell="A1">
      <selection activeCell="A1" sqref="A1"/>
    </sheetView>
  </sheetViews>
  <sheetFormatPr defaultColWidth="2.8515625" defaultRowHeight="0" customHeight="1" zeroHeight="1"/>
  <cols>
    <col min="1" max="1" width="2.7109375" style="11" customWidth="1"/>
    <col min="2" max="2" width="1.8515625" style="11" customWidth="1"/>
    <col min="3" max="3" width="63.00390625" style="11" customWidth="1"/>
    <col min="4" max="4" width="32.8515625" style="12" customWidth="1"/>
    <col min="5" max="255" width="11.421875" style="11" hidden="1" customWidth="1"/>
    <col min="256" max="16384" width="2.8515625" style="11" customWidth="1"/>
  </cols>
  <sheetData>
    <row r="1" spans="3:4" ht="14.25" customHeight="1">
      <c r="C1" s="110" t="s">
        <v>124</v>
      </c>
      <c r="D1" s="76"/>
    </row>
    <row r="2" spans="3:4" ht="14.25" customHeight="1">
      <c r="C2" s="194" t="str">
        <f>+'% Retencion fija'!E11</f>
        <v>EMPRESA DE EJEMPLO</v>
      </c>
      <c r="D2" s="76"/>
    </row>
    <row r="3" spans="1:4" ht="14.25" customHeight="1">
      <c r="A3" s="111"/>
      <c r="B3" s="112"/>
      <c r="C3" s="195">
        <f>+'% Retencion fija'!E12</f>
        <v>0</v>
      </c>
      <c r="D3" s="76" t="str">
        <f>+'% Retencion fija'!E3</f>
        <v>   PROCEDIMIENTO N.2  </v>
      </c>
    </row>
    <row r="4" spans="1:4" ht="6" customHeight="1" thickBot="1">
      <c r="A4" s="12"/>
      <c r="B4" s="12"/>
      <c r="C4" s="12"/>
      <c r="D4" s="76"/>
    </row>
    <row r="5" spans="1:4" ht="14.25" customHeight="1" thickBot="1">
      <c r="A5" s="12"/>
      <c r="B5" s="12"/>
      <c r="C5" s="196">
        <f>+'% Retencion fija'!E13</f>
        <v>0</v>
      </c>
      <c r="D5" s="113" t="str">
        <f>+'Depuración mensual'!I11</f>
        <v> Enero 2023</v>
      </c>
    </row>
    <row r="6" spans="1:4" ht="6" customHeight="1" thickBot="1">
      <c r="A6" s="12"/>
      <c r="B6" s="12"/>
      <c r="C6" s="12"/>
      <c r="D6" s="76"/>
    </row>
    <row r="7" spans="1:8" ht="14.25" customHeight="1" thickBot="1">
      <c r="A7" s="77"/>
      <c r="B7" s="78"/>
      <c r="C7" s="79" t="s">
        <v>19</v>
      </c>
      <c r="D7" s="79" t="s">
        <v>22</v>
      </c>
      <c r="E7" s="79"/>
      <c r="F7" s="80" t="s">
        <v>1</v>
      </c>
      <c r="G7" s="80" t="s">
        <v>0</v>
      </c>
      <c r="H7" s="81"/>
    </row>
    <row r="8" spans="1:8" ht="14.25" customHeight="1" thickBot="1">
      <c r="A8" s="12"/>
      <c r="B8" s="12"/>
      <c r="C8" s="75"/>
      <c r="D8" s="75"/>
      <c r="E8" s="82"/>
      <c r="F8" s="82"/>
      <c r="G8" s="82"/>
      <c r="H8" s="82"/>
    </row>
    <row r="9" spans="1:8" ht="14.25" customHeight="1" thickBot="1">
      <c r="A9" s="83">
        <v>1</v>
      </c>
      <c r="B9" s="84"/>
      <c r="C9" s="85" t="str">
        <f>+'Depuración mensual'!D19</f>
        <v>Total pagos laborales en el mes</v>
      </c>
      <c r="D9" s="85"/>
      <c r="E9" s="76"/>
      <c r="F9" s="76"/>
      <c r="G9" s="76"/>
      <c r="H9" s="76"/>
    </row>
    <row r="10" spans="1:8" ht="14.25" customHeight="1">
      <c r="A10" s="12"/>
      <c r="B10" s="12"/>
      <c r="C10" s="86" t="str">
        <f>+'Depuración mensual'!D20</f>
        <v>Sueldo</v>
      </c>
      <c r="D10" s="87">
        <f>+'Depuración mensual'!I20</f>
        <v>0</v>
      </c>
      <c r="E10" s="87"/>
      <c r="F10" s="88"/>
      <c r="G10" s="87">
        <f>+SUM('% Retencion fija'!J23:J34)</f>
        <v>0</v>
      </c>
      <c r="H10" s="89"/>
    </row>
    <row r="11" spans="1:8" ht="14.25" customHeight="1">
      <c r="A11" s="90"/>
      <c r="B11" s="12"/>
      <c r="C11" s="86" t="str">
        <f>+'Depuración mensual'!D21</f>
        <v>Auxilio de transporte</v>
      </c>
      <c r="D11" s="87">
        <f>+'Depuración mensual'!I21</f>
        <v>0</v>
      </c>
      <c r="E11" s="87"/>
      <c r="F11" s="88"/>
      <c r="G11" s="87">
        <f>+'% Retencion fija'!J35</f>
        <v>0</v>
      </c>
      <c r="H11" s="89"/>
    </row>
    <row r="12" spans="1:8" ht="14.25" customHeight="1">
      <c r="A12" s="90"/>
      <c r="B12" s="12"/>
      <c r="C12" s="86" t="str">
        <f>+'Depuración mensual'!D22</f>
        <v>Comisiones</v>
      </c>
      <c r="D12" s="87">
        <f>+'Depuración mensual'!I22</f>
        <v>0</v>
      </c>
      <c r="E12" s="87"/>
      <c r="F12" s="88"/>
      <c r="G12" s="87"/>
      <c r="H12" s="89"/>
    </row>
    <row r="13" spans="1:8" ht="14.25" customHeight="1">
      <c r="A13" s="90"/>
      <c r="B13" s="12"/>
      <c r="C13" s="86" t="str">
        <f>+'Depuración mensual'!D23</f>
        <v>Horas extras</v>
      </c>
      <c r="D13" s="87">
        <f>+'Depuración mensual'!I23</f>
        <v>0</v>
      </c>
      <c r="E13" s="87"/>
      <c r="F13" s="88"/>
      <c r="G13" s="87"/>
      <c r="H13" s="89"/>
    </row>
    <row r="14" spans="1:8" ht="14.25" customHeight="1">
      <c r="A14" s="90"/>
      <c r="B14" s="12"/>
      <c r="C14" s="86" t="str">
        <f>+'Depuración mensual'!D24</f>
        <v>Recargos nocturnos y dominicales</v>
      </c>
      <c r="D14" s="87">
        <f>+'Depuración mensual'!I24</f>
        <v>0</v>
      </c>
      <c r="E14" s="87"/>
      <c r="F14" s="88"/>
      <c r="G14" s="87"/>
      <c r="H14" s="89"/>
    </row>
    <row r="15" spans="1:8" ht="14.25" customHeight="1">
      <c r="A15" s="90"/>
      <c r="B15" s="12"/>
      <c r="C15" s="86" t="str">
        <f>+'Depuración mensual'!D25</f>
        <v>Otros auxilios (movilidad, alimentación, etc.)</v>
      </c>
      <c r="D15" s="87">
        <f>+'Depuración mensual'!I25</f>
        <v>0</v>
      </c>
      <c r="E15" s="87"/>
      <c r="F15" s="88"/>
      <c r="G15" s="87"/>
      <c r="H15" s="89"/>
    </row>
    <row r="16" spans="1:8" ht="14.25" customHeight="1">
      <c r="A16" s="90"/>
      <c r="B16" s="12"/>
      <c r="C16" s="86" t="str">
        <f>+'Depuración mensual'!D26</f>
        <v>Bonificaciones</v>
      </c>
      <c r="D16" s="87">
        <f>+'Depuración mensual'!I26</f>
        <v>0</v>
      </c>
      <c r="E16" s="87"/>
      <c r="F16" s="88"/>
      <c r="G16" s="87"/>
      <c r="H16" s="89"/>
    </row>
    <row r="17" spans="1:8" ht="14.25" customHeight="1" hidden="1">
      <c r="A17" s="90"/>
      <c r="B17" s="12"/>
      <c r="C17" s="86">
        <f>+'Depuración mensual'!D27</f>
        <v>0</v>
      </c>
      <c r="D17" s="87">
        <f>+'Depuración mensual'!I27</f>
        <v>0</v>
      </c>
      <c r="E17" s="87"/>
      <c r="F17" s="88"/>
      <c r="G17" s="87"/>
      <c r="H17" s="89"/>
    </row>
    <row r="18" spans="1:8" ht="14.25" customHeight="1">
      <c r="A18" s="90"/>
      <c r="B18" s="12"/>
      <c r="C18" s="86" t="str">
        <f>+'Depuración mensual'!D28</f>
        <v>Viáticos</v>
      </c>
      <c r="D18" s="87">
        <f>+'Depuración mensual'!I28</f>
        <v>0</v>
      </c>
      <c r="E18" s="87"/>
      <c r="F18" s="88"/>
      <c r="G18" s="87"/>
      <c r="H18" s="89"/>
    </row>
    <row r="19" spans="1:8" ht="14.25" customHeight="1" hidden="1">
      <c r="A19" s="90"/>
      <c r="B19" s="12"/>
      <c r="C19" s="86">
        <f>+'Depuración mensual'!D29</f>
        <v>0</v>
      </c>
      <c r="D19" s="87">
        <f>+'Depuración mensual'!I29</f>
        <v>0</v>
      </c>
      <c r="E19" s="87"/>
      <c r="F19" s="88"/>
      <c r="G19" s="87"/>
      <c r="H19" s="89"/>
    </row>
    <row r="20" spans="1:8" ht="14.25" customHeight="1">
      <c r="A20" s="90"/>
      <c r="B20" s="12"/>
      <c r="C20" s="86" t="str">
        <f>+'Depuración mensual'!D30</f>
        <v>Incapacidades</v>
      </c>
      <c r="D20" s="87">
        <f>+'Depuración mensual'!I30</f>
        <v>0</v>
      </c>
      <c r="E20" s="87"/>
      <c r="F20" s="88"/>
      <c r="G20" s="87"/>
      <c r="H20" s="89"/>
    </row>
    <row r="21" spans="1:8" ht="14.25" customHeight="1">
      <c r="A21" s="90"/>
      <c r="B21" s="12"/>
      <c r="C21" s="86" t="str">
        <f>+'Depuración mensual'!D31</f>
        <v>Licencia de maternidad</v>
      </c>
      <c r="D21" s="87">
        <f>+'Depuración mensual'!I31</f>
        <v>0</v>
      </c>
      <c r="E21" s="87"/>
      <c r="F21" s="88"/>
      <c r="G21" s="87"/>
      <c r="H21" s="89"/>
    </row>
    <row r="22" spans="1:8" ht="14.25" customHeight="1">
      <c r="A22" s="90"/>
      <c r="B22" s="12"/>
      <c r="C22" s="86" t="str">
        <f>+'Depuración mensual'!D32</f>
        <v>Cesantías (no se tienen en cuenta para efectos de la retención en la fuente)</v>
      </c>
      <c r="D22" s="87">
        <f>+'Depuración mensual'!I32</f>
        <v>0</v>
      </c>
      <c r="E22" s="87"/>
      <c r="F22" s="88"/>
      <c r="G22" s="87"/>
      <c r="H22" s="89"/>
    </row>
    <row r="23" spans="1:8" ht="14.25" customHeight="1">
      <c r="A23" s="90"/>
      <c r="B23" s="12"/>
      <c r="C23" s="86" t="str">
        <f>+'Depuración mensual'!D33</f>
        <v>Intereses sobre cesantías  (no se tienen en cuenta para efectos de la retención en la fuente)</v>
      </c>
      <c r="D23" s="87">
        <f>+'Depuración mensual'!I33</f>
        <v>0</v>
      </c>
      <c r="E23" s="87"/>
      <c r="F23" s="88"/>
      <c r="G23" s="87"/>
      <c r="H23" s="89"/>
    </row>
    <row r="24" spans="1:8" ht="14.25" customHeight="1">
      <c r="A24" s="90"/>
      <c r="B24" s="12"/>
      <c r="C24" s="86" t="str">
        <f>+'Depuración mensual'!D34</f>
        <v>Prima</v>
      </c>
      <c r="D24" s="87">
        <f>+'Depuración mensual'!I34</f>
        <v>0</v>
      </c>
      <c r="E24" s="87"/>
      <c r="F24" s="88"/>
      <c r="G24" s="87"/>
      <c r="H24" s="89"/>
    </row>
    <row r="25" spans="1:8" ht="14.25" customHeight="1">
      <c r="A25" s="90"/>
      <c r="B25" s="12"/>
      <c r="C25" s="86" t="str">
        <f>+'Depuración mensual'!D35</f>
        <v>Vacaciones</v>
      </c>
      <c r="D25" s="87">
        <f>+'Depuración mensual'!I35</f>
        <v>0</v>
      </c>
      <c r="E25" s="87"/>
      <c r="F25" s="88"/>
      <c r="G25" s="87"/>
      <c r="H25" s="89"/>
    </row>
    <row r="26" spans="1:8" ht="14.25" customHeight="1">
      <c r="A26" s="90"/>
      <c r="B26" s="12"/>
      <c r="C26" s="86" t="str">
        <f>+'Depuración mensual'!D36</f>
        <v>Primas extralegales</v>
      </c>
      <c r="D26" s="87">
        <f>+'Depuración mensual'!I36</f>
        <v>0</v>
      </c>
      <c r="E26" s="87"/>
      <c r="F26" s="88"/>
      <c r="G26" s="87"/>
      <c r="H26" s="89"/>
    </row>
    <row r="27" spans="1:8" ht="14.25" customHeight="1">
      <c r="A27" s="90"/>
      <c r="B27" s="12"/>
      <c r="C27" s="86" t="str">
        <f>+'Depuración mensual'!D37</f>
        <v>Otros ingresos laborales- Bonos, cheques electrónicos, pagos indirectos</v>
      </c>
      <c r="D27" s="87">
        <f>+'Depuración mensual'!I37</f>
        <v>0</v>
      </c>
      <c r="E27" s="87"/>
      <c r="F27" s="88"/>
      <c r="G27" s="87"/>
      <c r="H27" s="89"/>
    </row>
    <row r="28" spans="1:8" ht="14.25" customHeight="1">
      <c r="A28" s="90"/>
      <c r="B28" s="12"/>
      <c r="C28" s="91" t="str">
        <f>+'Depuración mensual'!D38</f>
        <v>Total Ingresos mes</v>
      </c>
      <c r="D28" s="92">
        <f>SUM(D10:D27)</f>
        <v>0</v>
      </c>
      <c r="E28" s="92"/>
      <c r="F28" s="93"/>
      <c r="G28" s="87">
        <f>+'% Retencion fija'!J36</f>
        <v>0</v>
      </c>
      <c r="H28" s="89"/>
    </row>
    <row r="29" spans="1:8" ht="8.25" customHeight="1" thickBot="1">
      <c r="A29" s="90"/>
      <c r="B29" s="12"/>
      <c r="C29" s="12"/>
      <c r="D29" s="76"/>
      <c r="E29" s="76"/>
      <c r="F29" s="94"/>
      <c r="G29" s="76"/>
      <c r="H29" s="76"/>
    </row>
    <row r="30" spans="1:8" ht="14.25" customHeight="1" thickBot="1">
      <c r="A30" s="83">
        <v>2</v>
      </c>
      <c r="B30" s="12"/>
      <c r="C30" s="322" t="s">
        <v>139</v>
      </c>
      <c r="D30" s="160"/>
      <c r="E30" s="76"/>
      <c r="F30" s="94"/>
      <c r="G30" s="76"/>
      <c r="H30" s="76"/>
    </row>
    <row r="31" spans="1:8" ht="14.25" customHeight="1">
      <c r="A31" s="90"/>
      <c r="B31" s="12"/>
      <c r="C31" s="336" t="str">
        <f>+'Depuración mensual'!D41</f>
        <v>Aportes obligatorios a Fondos de Pensiones (art. 55 ET)</v>
      </c>
      <c r="D31" s="15">
        <f>+'Depuración mensual'!I41</f>
        <v>0</v>
      </c>
      <c r="E31" s="76"/>
      <c r="F31" s="94"/>
      <c r="G31" s="76"/>
      <c r="H31" s="76"/>
    </row>
    <row r="32" spans="1:8" ht="14.25" customHeight="1">
      <c r="A32" s="90"/>
      <c r="B32" s="12"/>
      <c r="C32" s="336" t="str">
        <f>+'Depuración mensual'!D42</f>
        <v>Fondo de Solidaridad Pensional</v>
      </c>
      <c r="D32" s="15">
        <f>+'Depuración mensual'!I42</f>
        <v>0</v>
      </c>
      <c r="E32" s="76"/>
      <c r="F32" s="94"/>
      <c r="G32" s="76"/>
      <c r="H32" s="76"/>
    </row>
    <row r="33" spans="1:8" ht="14.25" customHeight="1">
      <c r="A33" s="90"/>
      <c r="B33" s="12"/>
      <c r="C33" s="336" t="str">
        <f>+'Depuración mensual'!D43</f>
        <v>Aportes voluntarios a fondos de pensiones obligatorios (Régimen ahorro individual) (Art. 55 ET)</v>
      </c>
      <c r="D33" s="15">
        <f>+'Depuración mensual'!I43</f>
        <v>0</v>
      </c>
      <c r="E33" s="76"/>
      <c r="F33" s="94"/>
      <c r="G33" s="76"/>
      <c r="H33" s="76"/>
    </row>
    <row r="34" spans="1:8" ht="14.25" customHeight="1">
      <c r="A34" s="90"/>
      <c r="B34" s="12"/>
      <c r="C34" s="336" t="str">
        <f>+'Depuración mensual'!D44</f>
        <v>Aportes obligatorios al sistema de salud (art. 56 ET)</v>
      </c>
      <c r="D34" s="15">
        <f>+'Depuración mensual'!I44</f>
        <v>0</v>
      </c>
      <c r="E34" s="76"/>
      <c r="F34" s="94"/>
      <c r="G34" s="76"/>
      <c r="H34" s="76"/>
    </row>
    <row r="35" spans="1:8" ht="14.25" customHeight="1">
      <c r="A35" s="90"/>
      <c r="B35" s="12"/>
      <c r="C35" s="337" t="str">
        <f>+'Depuración mensual'!D45</f>
        <v>Total ingresos no constitutivos de renta ni ganancia ocasional</v>
      </c>
      <c r="D35" s="338">
        <f>SUM(D31:D34)</f>
        <v>0</v>
      </c>
      <c r="E35" s="76"/>
      <c r="F35" s="94"/>
      <c r="G35" s="76"/>
      <c r="H35" s="76"/>
    </row>
    <row r="36" spans="1:8" ht="6" customHeight="1">
      <c r="A36" s="90"/>
      <c r="B36" s="12"/>
      <c r="C36" s="12"/>
      <c r="D36" s="76"/>
      <c r="E36" s="76"/>
      <c r="F36" s="94"/>
      <c r="G36" s="76"/>
      <c r="H36" s="76"/>
    </row>
    <row r="37" spans="1:8" ht="14.25" customHeight="1">
      <c r="A37" s="90"/>
      <c r="B37" s="12"/>
      <c r="C37" s="342" t="s">
        <v>78</v>
      </c>
      <c r="D37" s="338">
        <f>+D28-D35</f>
        <v>0</v>
      </c>
      <c r="E37" s="76"/>
      <c r="F37" s="94"/>
      <c r="G37" s="76"/>
      <c r="H37" s="76"/>
    </row>
    <row r="38" spans="1:8" ht="4.5" customHeight="1" thickBot="1">
      <c r="A38" s="90"/>
      <c r="B38" s="12"/>
      <c r="C38" s="12"/>
      <c r="D38" s="76"/>
      <c r="E38" s="76"/>
      <c r="F38" s="94"/>
      <c r="G38" s="76"/>
      <c r="H38" s="76"/>
    </row>
    <row r="39" spans="1:8" ht="14.25" customHeight="1" thickBot="1">
      <c r="A39" s="83">
        <v>3</v>
      </c>
      <c r="B39" s="12"/>
      <c r="C39" s="95" t="str">
        <f>+'Depuración mensual'!D49</f>
        <v>Menos rentas exentas</v>
      </c>
      <c r="D39" s="76"/>
      <c r="E39" s="76"/>
      <c r="F39" s="76"/>
      <c r="G39" s="76"/>
      <c r="H39" s="76"/>
    </row>
    <row r="40" spans="1:8" ht="14.25" customHeight="1">
      <c r="A40" s="12"/>
      <c r="B40" s="12"/>
      <c r="C40" s="339" t="str">
        <f>+'Depuración mensual'!D50</f>
        <v>Aportes a Fondos de Pensiones Voluntarias (art. 126-1 ET)</v>
      </c>
      <c r="D40" s="455">
        <f>+'Depuración mensual'!I50</f>
        <v>0</v>
      </c>
      <c r="E40" s="87"/>
      <c r="F40" s="102"/>
      <c r="G40" s="448">
        <f>+'% Retencion fija'!J48</f>
        <v>0</v>
      </c>
      <c r="H40" s="89"/>
    </row>
    <row r="41" spans="1:8" ht="14.25" customHeight="1">
      <c r="A41" s="12"/>
      <c r="B41" s="12"/>
      <c r="C41" s="340" t="str">
        <f>+'Depuración mensual'!D51</f>
        <v>Aportes con destino a cuentas AFC, AVC (art 126-4 ET)</v>
      </c>
      <c r="D41" s="455"/>
      <c r="E41" s="87"/>
      <c r="F41" s="102"/>
      <c r="G41" s="454"/>
      <c r="H41" s="89"/>
    </row>
    <row r="42" spans="1:8" ht="14.25" customHeight="1" hidden="1">
      <c r="A42" s="12"/>
      <c r="B42" s="12"/>
      <c r="C42" s="339">
        <f>+'Depuración mensual'!D52</f>
        <v>0</v>
      </c>
      <c r="D42" s="307">
        <f>+'Depuración mensual'!I52</f>
        <v>0</v>
      </c>
      <c r="E42" s="87"/>
      <c r="F42" s="102"/>
      <c r="G42" s="454"/>
      <c r="H42" s="89"/>
    </row>
    <row r="43" spans="1:8" ht="14.25" customHeight="1">
      <c r="A43" s="12"/>
      <c r="B43" s="12"/>
      <c r="C43" s="339" t="str">
        <f>+'Depuración mensual'!D53</f>
        <v>Indemnizaciones por accidentes de trabajo o enfermedad (art 206 ET Num 1)</v>
      </c>
      <c r="D43" s="307">
        <f>+'Depuración mensual'!I53</f>
        <v>0</v>
      </c>
      <c r="E43" s="87"/>
      <c r="F43" s="102"/>
      <c r="G43" s="454"/>
      <c r="H43" s="89"/>
    </row>
    <row r="44" spans="1:8" ht="33" customHeight="1" hidden="1">
      <c r="A44" s="12"/>
      <c r="B44" s="12"/>
      <c r="C44" s="339">
        <f>+'Depuración mensual'!D54</f>
        <v>0</v>
      </c>
      <c r="D44" s="307">
        <f>+'Depuración mensual'!I54</f>
        <v>0</v>
      </c>
      <c r="E44" s="87"/>
      <c r="F44" s="102"/>
      <c r="G44" s="449"/>
      <c r="H44" s="89"/>
    </row>
    <row r="45" spans="1:8" ht="14.25" customHeight="1">
      <c r="A45" s="12"/>
      <c r="B45" s="12"/>
      <c r="C45" s="339" t="str">
        <f>+'Depuración mensual'!D55</f>
        <v>Indemnizaciones proteccion a la maternidad (art 206 ET Num 2)</v>
      </c>
      <c r="D45" s="307">
        <f>+'Depuración mensual'!I55</f>
        <v>0</v>
      </c>
      <c r="E45" s="87"/>
      <c r="F45" s="102"/>
      <c r="G45" s="87">
        <f>+'% Retencion fija'!J50</f>
        <v>0</v>
      </c>
      <c r="H45" s="89"/>
    </row>
    <row r="46" spans="1:8" ht="14.25" customHeight="1">
      <c r="A46" s="12"/>
      <c r="B46" s="12"/>
      <c r="C46" s="193" t="str">
        <f>+'Depuración mensual'!D56</f>
        <v>Gastos de entierro del trabajador (art 206 ET Num 3)</v>
      </c>
      <c r="D46" s="307">
        <f>+'Depuración mensual'!I56</f>
        <v>0</v>
      </c>
      <c r="E46" s="87"/>
      <c r="F46" s="102"/>
      <c r="G46" s="87">
        <f>+'% Retencion fija'!J51</f>
        <v>0</v>
      </c>
      <c r="H46" s="89"/>
    </row>
    <row r="47" spans="1:8" ht="14.25" customHeight="1">
      <c r="A47" s="90"/>
      <c r="B47" s="12"/>
      <c r="C47" s="193" t="str">
        <f>+'Depuración mensual'!D57</f>
        <v>Otras rentas exentas (Art. 206 ET)</v>
      </c>
      <c r="D47" s="307">
        <f>+'Depuración mensual'!I57</f>
        <v>0</v>
      </c>
      <c r="E47" s="87"/>
      <c r="F47" s="102"/>
      <c r="G47" s="87">
        <f>+'% Retencion fija'!J52</f>
        <v>0</v>
      </c>
      <c r="H47" s="89"/>
    </row>
    <row r="48" spans="1:8" ht="14.25" customHeight="1">
      <c r="A48" s="90"/>
      <c r="B48" s="12"/>
      <c r="C48" s="96" t="str">
        <f>+'Depuración mensual'!D58</f>
        <v>Total rentas exentas</v>
      </c>
      <c r="D48" s="92">
        <f>SUM(D40:D47)</f>
        <v>0</v>
      </c>
      <c r="E48" s="92"/>
      <c r="F48" s="97"/>
      <c r="G48" s="92">
        <f>+'% Retencion fija'!J56</f>
        <v>0</v>
      </c>
      <c r="H48" s="89"/>
    </row>
    <row r="49" spans="1:8" ht="4.5" customHeight="1">
      <c r="A49" s="90"/>
      <c r="B49" s="12"/>
      <c r="C49" s="12"/>
      <c r="D49" s="76"/>
      <c r="E49" s="76"/>
      <c r="F49" s="76"/>
      <c r="G49" s="76"/>
      <c r="H49" s="76"/>
    </row>
    <row r="50" spans="1:8" ht="14.25" customHeight="1">
      <c r="A50" s="90"/>
      <c r="B50" s="12"/>
      <c r="C50" s="99" t="str">
        <f>+'Depuración mensual'!D60</f>
        <v>Subtotal  (B)</v>
      </c>
      <c r="D50" s="92">
        <f>+D37-D48</f>
        <v>0</v>
      </c>
      <c r="E50" s="100"/>
      <c r="F50" s="101"/>
      <c r="G50" s="87">
        <f>+'% Retencion fija'!J58</f>
        <v>0</v>
      </c>
      <c r="H50" s="89"/>
    </row>
    <row r="51" spans="1:8" ht="6" customHeight="1" thickBot="1">
      <c r="A51" s="90"/>
      <c r="B51" s="12"/>
      <c r="C51" s="12"/>
      <c r="D51" s="76"/>
      <c r="E51" s="76"/>
      <c r="F51" s="76"/>
      <c r="G51" s="76"/>
      <c r="H51" s="76"/>
    </row>
    <row r="52" spans="1:8" ht="14.25" customHeight="1" thickBot="1">
      <c r="A52" s="83">
        <v>4</v>
      </c>
      <c r="B52" s="12"/>
      <c r="C52" s="95" t="str">
        <f>+'Depuración mensual'!D62</f>
        <v>Menos deducciones del mes</v>
      </c>
      <c r="D52" s="76"/>
      <c r="E52" s="76"/>
      <c r="F52" s="76"/>
      <c r="G52" s="76"/>
      <c r="H52" s="76"/>
    </row>
    <row r="53" spans="1:8" ht="24" customHeight="1">
      <c r="A53" s="104"/>
      <c r="B53" s="12"/>
      <c r="C53" s="193" t="str">
        <f>+'Depuración mensual'!D63</f>
        <v>Intereses por prestamos de vivienda (promedio año anterior o los meses correspondientes)</v>
      </c>
      <c r="D53" s="87">
        <f>+'Depuración mensual'!I63</f>
        <v>0</v>
      </c>
      <c r="E53" s="343"/>
      <c r="F53" s="102" t="s">
        <v>12</v>
      </c>
      <c r="G53" s="87" t="str">
        <f>+'% Retencion fija'!J60</f>
        <v>100 UVT Mensual</v>
      </c>
      <c r="H53" s="89"/>
    </row>
    <row r="54" spans="1:8" ht="26.25" customHeight="1">
      <c r="A54" s="12"/>
      <c r="B54" s="12"/>
      <c r="C54" s="193" t="str">
        <f>+'Depuración mensual'!D64</f>
        <v>Pagos por salud prepagada, Plan complementario de salud, o seguros de salud (art 387 ET)- Promedio del año anterior</v>
      </c>
      <c r="D54" s="87">
        <f>+'Depuración mensual'!I64</f>
        <v>0</v>
      </c>
      <c r="E54" s="343"/>
      <c r="F54" s="102" t="s">
        <v>10</v>
      </c>
      <c r="G54" s="87" t="str">
        <f>+'% Retencion fija'!J61</f>
        <v>16 UVT</v>
      </c>
      <c r="H54" s="89"/>
    </row>
    <row r="55" spans="1:8" ht="12">
      <c r="A55" s="12"/>
      <c r="B55" s="12"/>
      <c r="C55" s="193" t="str">
        <f>+'Depuración mensual'!D65</f>
        <v>Seleccione "SI" si tiene derecho a dependientes (Art 387 ET)</v>
      </c>
      <c r="D55" s="87">
        <f>+'Depuración mensual'!I65</f>
        <v>0</v>
      </c>
      <c r="E55" s="343"/>
      <c r="F55" s="102"/>
      <c r="G55" s="87" t="str">
        <f>+'% Retencion fija'!J62</f>
        <v>Hasta 10%  de los ingresos y hasta 32 UVT</v>
      </c>
      <c r="H55" s="89"/>
    </row>
    <row r="56" spans="1:8" ht="14.25" customHeight="1">
      <c r="A56" s="12"/>
      <c r="B56" s="12"/>
      <c r="C56" s="96" t="str">
        <f>+'Depuración mensual'!D67</f>
        <v>Total deducciones</v>
      </c>
      <c r="D56" s="92">
        <f>SUM(D53:D55)</f>
        <v>0</v>
      </c>
      <c r="E56" s="343"/>
      <c r="F56" s="102" t="s">
        <v>11</v>
      </c>
      <c r="G56" s="87">
        <f>+'% Retencion fija'!J63</f>
        <v>0</v>
      </c>
      <c r="H56" s="89"/>
    </row>
    <row r="57" spans="1:8" ht="5.25" customHeight="1">
      <c r="A57" s="12"/>
      <c r="B57" s="12"/>
      <c r="C57" s="98"/>
      <c r="D57" s="103"/>
      <c r="E57" s="344"/>
      <c r="F57" s="97"/>
      <c r="G57" s="92">
        <f>+'% Retencion fija'!J65</f>
        <v>0</v>
      </c>
      <c r="H57" s="89"/>
    </row>
    <row r="58" spans="3:4" ht="14.25" customHeight="1">
      <c r="C58" s="346" t="s">
        <v>41</v>
      </c>
      <c r="D58" s="92">
        <f>+'Depuración mensual'!I69</f>
        <v>0</v>
      </c>
    </row>
    <row r="59" spans="3:4" ht="6.75" customHeight="1">
      <c r="C59" s="345"/>
      <c r="D59" s="76"/>
    </row>
    <row r="60" spans="3:4" ht="14.25" customHeight="1">
      <c r="C60" s="346" t="s">
        <v>81</v>
      </c>
      <c r="D60" s="92">
        <f>+'Depuración mensual'!I71</f>
        <v>0</v>
      </c>
    </row>
    <row r="61" spans="3:4" ht="3.75" customHeight="1">
      <c r="C61" s="345"/>
      <c r="D61" s="348"/>
    </row>
    <row r="62" spans="3:4" ht="14.25" customHeight="1">
      <c r="C62" s="367" t="str">
        <f>+'Depuración mensual'!D74</f>
        <v>LIMITE GENERAL DE RENTAS EXENTAS Y DEDUCCIONES   40% DEL INGRESO NETO Y HASTA 1.340 UVT</v>
      </c>
      <c r="D62" s="92">
        <f>+'Depuración mensual'!I74</f>
        <v>0</v>
      </c>
    </row>
    <row r="63" spans="3:4" ht="3.75" customHeight="1">
      <c r="C63" s="345"/>
      <c r="D63" s="348"/>
    </row>
    <row r="64" spans="3:4" ht="14.25" customHeight="1">
      <c r="C64" s="346" t="s">
        <v>82</v>
      </c>
      <c r="D64" s="92">
        <f>+'Depuración mensual'!I76</f>
        <v>0</v>
      </c>
    </row>
    <row r="65" spans="3:4" ht="4.5" customHeight="1">
      <c r="C65" s="345"/>
      <c r="D65" s="348"/>
    </row>
    <row r="66" spans="3:4" ht="14.25" customHeight="1">
      <c r="C66" s="347" t="s">
        <v>147</v>
      </c>
      <c r="D66" s="349">
        <f>+'Depuración mensual'!I78</f>
        <v>0</v>
      </c>
    </row>
    <row r="67" spans="3:4" ht="3.75" customHeight="1">
      <c r="C67" s="345"/>
      <c r="D67" s="348"/>
    </row>
    <row r="68" spans="3:4" ht="14.25" customHeight="1">
      <c r="C68" s="347" t="s">
        <v>145</v>
      </c>
      <c r="D68" s="92">
        <f>+'Depuración mensual'!I80</f>
        <v>0</v>
      </c>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sheetData>
  <sheetProtection password="CAE7" sheet="1"/>
  <mergeCells count="2">
    <mergeCell ref="G40:G44"/>
    <mergeCell ref="D40:D41"/>
  </mergeCells>
  <dataValidations count="2">
    <dataValidation allowBlank="1" showInputMessage="1" showErrorMessage="1" prompt="Digite el valor descontado por salud obligatoria&#10;" sqref="E53"/>
    <dataValidation allowBlank="1" showInputMessage="1" showErrorMessage="1" prompt="Recuerde que estos pagos que efectue el empleador por concepto de alimentación  del trabajador  o de su conyugue co compañero (a) permanente, sus hijos o su padres son ingresos no constitutivos de renta" sqref="E48"/>
  </dataValidations>
  <printOptions/>
  <pageMargins left="0.7086614173228347" right="0.7086614173228347" top="0.15748031496062992" bottom="0.35433070866141736" header="0.31496062992125984" footer="0.31496062992125984"/>
  <pageSetup fitToHeight="1" fitToWidth="1" horizontalDpi="300" verticalDpi="300" orientation="portrait" scale="91" r:id="rId2"/>
  <headerFooter>
    <oddFooter>&amp;LProc-2&amp;CCálculo de la retefuente del mes&amp;Rwww.consultorcontable.com</oddFooter>
  </headerFooter>
  <drawing r:id="rId1"/>
</worksheet>
</file>

<file path=xl/worksheets/sheet7.xml><?xml version="1.0" encoding="utf-8"?>
<worksheet xmlns="http://schemas.openxmlformats.org/spreadsheetml/2006/main" xmlns:r="http://schemas.openxmlformats.org/officeDocument/2006/relationships">
  <sheetPr codeName="Hoja8"/>
  <dimension ref="A2:G116"/>
  <sheetViews>
    <sheetView showGridLines="0" zoomScalePageLayoutView="0" workbookViewId="0" topLeftCell="A73">
      <selection activeCell="B106" sqref="B106"/>
    </sheetView>
  </sheetViews>
  <sheetFormatPr defaultColWidth="11.421875" defaultRowHeight="12.75"/>
  <cols>
    <col min="1" max="1" width="11.421875" style="115" bestFit="1" customWidth="1"/>
    <col min="2" max="2" width="20.28125" style="115" bestFit="1" customWidth="1"/>
    <col min="3" max="3" width="14.421875" style="115" customWidth="1"/>
    <col min="4" max="4" width="17.421875" style="115" bestFit="1" customWidth="1"/>
    <col min="5" max="5" width="18.7109375" style="115" customWidth="1"/>
    <col min="6" max="6" width="20.00390625" style="115" customWidth="1"/>
    <col min="7" max="16384" width="11.421875" style="115" customWidth="1"/>
  </cols>
  <sheetData>
    <row r="2" spans="1:5" ht="15.75" thickBot="1">
      <c r="A2" s="114"/>
      <c r="B2" s="114" t="s">
        <v>8</v>
      </c>
      <c r="C2" s="114">
        <f>+'Depuración mensual'!I14</f>
        <v>42412</v>
      </c>
      <c r="D2" s="114"/>
      <c r="E2" s="114"/>
    </row>
    <row r="3" spans="1:5" ht="15">
      <c r="A3" s="456" t="s">
        <v>51</v>
      </c>
      <c r="B3" s="457"/>
      <c r="C3" s="458"/>
      <c r="D3" s="114"/>
      <c r="E3" s="114"/>
    </row>
    <row r="4" spans="1:5" ht="30.75">
      <c r="A4" s="459" t="s">
        <v>52</v>
      </c>
      <c r="B4" s="460"/>
      <c r="C4" s="116" t="s">
        <v>53</v>
      </c>
      <c r="D4" s="459" t="s">
        <v>54</v>
      </c>
      <c r="E4" s="460"/>
    </row>
    <row r="5" spans="1:7" ht="15">
      <c r="A5" s="117">
        <v>1</v>
      </c>
      <c r="B5" s="117">
        <v>128.959999</v>
      </c>
      <c r="C5" s="118">
        <v>0</v>
      </c>
      <c r="D5" s="119">
        <f>+B5*C2</f>
        <v>5469451.477588001</v>
      </c>
      <c r="E5" s="119"/>
      <c r="F5" s="115" t="e">
        <f>+AND($D$111&gt;A5,$D$111&lt;B5)</f>
        <v>#REF!</v>
      </c>
      <c r="G5" s="115" t="e">
        <f>+IF(F5=TRUE,(C5),0)</f>
        <v>#REF!</v>
      </c>
    </row>
    <row r="6" spans="1:7" ht="15">
      <c r="A6" s="118">
        <v>128.96</v>
      </c>
      <c r="B6" s="118">
        <f>+A7</f>
        <v>132.36</v>
      </c>
      <c r="C6" s="118">
        <v>0.09</v>
      </c>
      <c r="D6" s="119">
        <f aca="true" t="shared" si="0" ref="D6:D15">+A6*$C$2</f>
        <v>5469451.5200000005</v>
      </c>
      <c r="E6" s="119">
        <f aca="true" t="shared" si="1" ref="E6:E15">+D7</f>
        <v>5613652.32</v>
      </c>
      <c r="F6" s="115" t="e">
        <f>+AND($D$111&gt;=A6,$D$111&lt;B6)</f>
        <v>#REF!</v>
      </c>
      <c r="G6" s="115" t="e">
        <f aca="true" t="shared" si="2" ref="G6:G69">+IF(F6=TRUE,(C6),0)</f>
        <v>#REF!</v>
      </c>
    </row>
    <row r="7" spans="1:7" ht="15">
      <c r="A7" s="118">
        <v>132.36</v>
      </c>
      <c r="B7" s="118">
        <f aca="true" t="shared" si="3" ref="B7:B70">+A8</f>
        <v>135.75</v>
      </c>
      <c r="C7" s="118">
        <v>0.09</v>
      </c>
      <c r="D7" s="119">
        <f t="shared" si="0"/>
        <v>5613652.32</v>
      </c>
      <c r="E7" s="119">
        <f t="shared" si="1"/>
        <v>5757429</v>
      </c>
      <c r="F7" s="115" t="e">
        <f aca="true" t="shared" si="4" ref="F7:F70">+AND($D$111&gt;=A7,$D$111&lt;B7)</f>
        <v>#REF!</v>
      </c>
      <c r="G7" s="115" t="e">
        <f t="shared" si="2"/>
        <v>#REF!</v>
      </c>
    </row>
    <row r="8" spans="1:7" ht="15">
      <c r="A8" s="118">
        <v>135.75</v>
      </c>
      <c r="B8" s="118">
        <f t="shared" si="3"/>
        <v>139.14</v>
      </c>
      <c r="C8" s="118">
        <v>0.09</v>
      </c>
      <c r="D8" s="119">
        <f t="shared" si="0"/>
        <v>5757429</v>
      </c>
      <c r="E8" s="119">
        <f t="shared" si="1"/>
        <v>5901205.68</v>
      </c>
      <c r="F8" s="115" t="e">
        <f t="shared" si="4"/>
        <v>#REF!</v>
      </c>
      <c r="G8" s="115" t="e">
        <f t="shared" si="2"/>
        <v>#REF!</v>
      </c>
    </row>
    <row r="9" spans="1:7" ht="15">
      <c r="A9" s="118">
        <v>139.14</v>
      </c>
      <c r="B9" s="118">
        <f t="shared" si="3"/>
        <v>142.54</v>
      </c>
      <c r="C9" s="118">
        <v>0.09</v>
      </c>
      <c r="D9" s="119">
        <f t="shared" si="0"/>
        <v>5901205.68</v>
      </c>
      <c r="E9" s="119">
        <f t="shared" si="1"/>
        <v>6045406.4799999995</v>
      </c>
      <c r="F9" s="115" t="e">
        <f t="shared" si="4"/>
        <v>#REF!</v>
      </c>
      <c r="G9" s="115" t="e">
        <f t="shared" si="2"/>
        <v>#REF!</v>
      </c>
    </row>
    <row r="10" spans="1:7" ht="15">
      <c r="A10" s="118">
        <v>142.54</v>
      </c>
      <c r="B10" s="118">
        <f t="shared" si="3"/>
        <v>145.93</v>
      </c>
      <c r="C10" s="118">
        <v>0.1</v>
      </c>
      <c r="D10" s="119">
        <f t="shared" si="0"/>
        <v>6045406.4799999995</v>
      </c>
      <c r="E10" s="119">
        <f t="shared" si="1"/>
        <v>6189183.16</v>
      </c>
      <c r="F10" s="115" t="e">
        <f t="shared" si="4"/>
        <v>#REF!</v>
      </c>
      <c r="G10" s="115" t="e">
        <f t="shared" si="2"/>
        <v>#REF!</v>
      </c>
    </row>
    <row r="11" spans="1:7" ht="15">
      <c r="A11" s="118">
        <v>145.93</v>
      </c>
      <c r="B11" s="118">
        <f t="shared" si="3"/>
        <v>149.32</v>
      </c>
      <c r="C11" s="118">
        <v>0.2</v>
      </c>
      <c r="D11" s="119">
        <f t="shared" si="0"/>
        <v>6189183.16</v>
      </c>
      <c r="E11" s="119">
        <f t="shared" si="1"/>
        <v>6332959.84</v>
      </c>
      <c r="F11" s="115" t="e">
        <f t="shared" si="4"/>
        <v>#REF!</v>
      </c>
      <c r="G11" s="115" t="e">
        <f t="shared" si="2"/>
        <v>#REF!</v>
      </c>
    </row>
    <row r="12" spans="1:7" ht="15">
      <c r="A12" s="118">
        <v>149.32</v>
      </c>
      <c r="B12" s="118">
        <f t="shared" si="3"/>
        <v>152.72</v>
      </c>
      <c r="C12" s="118">
        <v>0.2</v>
      </c>
      <c r="D12" s="119">
        <f t="shared" si="0"/>
        <v>6332959.84</v>
      </c>
      <c r="E12" s="119">
        <f t="shared" si="1"/>
        <v>6477160.64</v>
      </c>
      <c r="F12" s="115" t="e">
        <f t="shared" si="4"/>
        <v>#REF!</v>
      </c>
      <c r="G12" s="115" t="e">
        <f t="shared" si="2"/>
        <v>#REF!</v>
      </c>
    </row>
    <row r="13" spans="1:7" ht="15">
      <c r="A13" s="118">
        <v>152.72</v>
      </c>
      <c r="B13" s="118">
        <f t="shared" si="3"/>
        <v>156.11</v>
      </c>
      <c r="C13" s="118">
        <v>0.21</v>
      </c>
      <c r="D13" s="119">
        <f t="shared" si="0"/>
        <v>6477160.64</v>
      </c>
      <c r="E13" s="119">
        <f t="shared" si="1"/>
        <v>6620937.32</v>
      </c>
      <c r="F13" s="115" t="e">
        <f t="shared" si="4"/>
        <v>#REF!</v>
      </c>
      <c r="G13" s="115" t="e">
        <f t="shared" si="2"/>
        <v>#REF!</v>
      </c>
    </row>
    <row r="14" spans="1:7" ht="15">
      <c r="A14" s="118">
        <v>156.11</v>
      </c>
      <c r="B14" s="118">
        <f t="shared" si="3"/>
        <v>159.51</v>
      </c>
      <c r="C14" s="118">
        <v>0.4</v>
      </c>
      <c r="D14" s="119">
        <f t="shared" si="0"/>
        <v>6620937.32</v>
      </c>
      <c r="E14" s="119">
        <f t="shared" si="1"/>
        <v>6765138.119999999</v>
      </c>
      <c r="F14" s="115" t="e">
        <f t="shared" si="4"/>
        <v>#REF!</v>
      </c>
      <c r="G14" s="115" t="e">
        <f t="shared" si="2"/>
        <v>#REF!</v>
      </c>
    </row>
    <row r="15" spans="1:7" ht="15">
      <c r="A15" s="118">
        <v>159.51</v>
      </c>
      <c r="B15" s="118">
        <f t="shared" si="3"/>
        <v>162.9</v>
      </c>
      <c r="C15" s="118">
        <v>0.41</v>
      </c>
      <c r="D15" s="119">
        <f t="shared" si="0"/>
        <v>6765138.119999999</v>
      </c>
      <c r="E15" s="119">
        <f t="shared" si="1"/>
        <v>6908914.8</v>
      </c>
      <c r="F15" s="115" t="e">
        <f t="shared" si="4"/>
        <v>#REF!</v>
      </c>
      <c r="G15" s="115" t="e">
        <f t="shared" si="2"/>
        <v>#REF!</v>
      </c>
    </row>
    <row r="16" spans="1:7" ht="15">
      <c r="A16" s="118">
        <v>162.9</v>
      </c>
      <c r="B16" s="118">
        <f t="shared" si="3"/>
        <v>166.29</v>
      </c>
      <c r="C16" s="118">
        <v>0.41</v>
      </c>
      <c r="D16" s="119">
        <f aca="true" t="shared" si="5" ref="D16:D70">+A16*$C$2</f>
        <v>6908914.8</v>
      </c>
      <c r="E16" s="119">
        <f aca="true" t="shared" si="6" ref="E16:E70">+D17</f>
        <v>7052691.4799999995</v>
      </c>
      <c r="F16" s="115" t="e">
        <f t="shared" si="4"/>
        <v>#REF!</v>
      </c>
      <c r="G16" s="115" t="e">
        <f t="shared" si="2"/>
        <v>#REF!</v>
      </c>
    </row>
    <row r="17" spans="1:7" ht="15">
      <c r="A17" s="118">
        <v>166.29</v>
      </c>
      <c r="B17" s="118">
        <f t="shared" si="3"/>
        <v>169.69</v>
      </c>
      <c r="C17" s="118">
        <v>0.7</v>
      </c>
      <c r="D17" s="119">
        <f t="shared" si="5"/>
        <v>7052691.4799999995</v>
      </c>
      <c r="E17" s="119">
        <f t="shared" si="6"/>
        <v>7196892.28</v>
      </c>
      <c r="F17" s="115" t="e">
        <f t="shared" si="4"/>
        <v>#REF!</v>
      </c>
      <c r="G17" s="115" t="e">
        <f t="shared" si="2"/>
        <v>#REF!</v>
      </c>
    </row>
    <row r="18" spans="1:7" ht="15">
      <c r="A18" s="118">
        <v>169.69</v>
      </c>
      <c r="B18" s="118">
        <f t="shared" si="3"/>
        <v>176.47</v>
      </c>
      <c r="C18" s="118">
        <v>0.73</v>
      </c>
      <c r="D18" s="119">
        <f t="shared" si="5"/>
        <v>7196892.28</v>
      </c>
      <c r="E18" s="119">
        <f t="shared" si="6"/>
        <v>7484445.64</v>
      </c>
      <c r="F18" s="115" t="e">
        <f t="shared" si="4"/>
        <v>#REF!</v>
      </c>
      <c r="G18" s="115" t="e">
        <f t="shared" si="2"/>
        <v>#REF!</v>
      </c>
    </row>
    <row r="19" spans="1:7" ht="15">
      <c r="A19" s="118">
        <v>176.47</v>
      </c>
      <c r="B19" s="118">
        <f t="shared" si="3"/>
        <v>183.26</v>
      </c>
      <c r="C19" s="118">
        <v>1.15</v>
      </c>
      <c r="D19" s="119">
        <f t="shared" si="5"/>
        <v>7484445.64</v>
      </c>
      <c r="E19" s="119">
        <f t="shared" si="6"/>
        <v>7772423.119999999</v>
      </c>
      <c r="F19" s="115" t="e">
        <f t="shared" si="4"/>
        <v>#REF!</v>
      </c>
      <c r="G19" s="115" t="e">
        <f t="shared" si="2"/>
        <v>#REF!</v>
      </c>
    </row>
    <row r="20" spans="1:7" ht="15">
      <c r="A20" s="118">
        <v>183.26</v>
      </c>
      <c r="B20" s="118">
        <f t="shared" si="3"/>
        <v>190.05</v>
      </c>
      <c r="C20" s="118">
        <v>1.19</v>
      </c>
      <c r="D20" s="119">
        <f t="shared" si="5"/>
        <v>7772423.119999999</v>
      </c>
      <c r="E20" s="119">
        <f t="shared" si="6"/>
        <v>8060400.600000001</v>
      </c>
      <c r="F20" s="115" t="e">
        <f t="shared" si="4"/>
        <v>#REF!</v>
      </c>
      <c r="G20" s="115" t="e">
        <f t="shared" si="2"/>
        <v>#REF!</v>
      </c>
    </row>
    <row r="21" spans="1:7" ht="15">
      <c r="A21" s="118">
        <v>190.05</v>
      </c>
      <c r="B21" s="118">
        <f t="shared" si="3"/>
        <v>196.84</v>
      </c>
      <c r="C21" s="118">
        <v>1.65</v>
      </c>
      <c r="D21" s="119">
        <f t="shared" si="5"/>
        <v>8060400.600000001</v>
      </c>
      <c r="E21" s="119">
        <f t="shared" si="6"/>
        <v>8348378.08</v>
      </c>
      <c r="F21" s="115" t="e">
        <f t="shared" si="4"/>
        <v>#REF!</v>
      </c>
      <c r="G21" s="115" t="e">
        <f t="shared" si="2"/>
        <v>#REF!</v>
      </c>
    </row>
    <row r="22" spans="1:7" ht="15">
      <c r="A22" s="118">
        <v>196.84</v>
      </c>
      <c r="B22" s="118">
        <f t="shared" si="3"/>
        <v>203.62</v>
      </c>
      <c r="C22" s="118">
        <v>2.14</v>
      </c>
      <c r="D22" s="119">
        <f t="shared" si="5"/>
        <v>8348378.08</v>
      </c>
      <c r="E22" s="119">
        <f t="shared" si="6"/>
        <v>8635931.44</v>
      </c>
      <c r="F22" s="115" t="e">
        <f t="shared" si="4"/>
        <v>#REF!</v>
      </c>
      <c r="G22" s="115" t="e">
        <f t="shared" si="2"/>
        <v>#REF!</v>
      </c>
    </row>
    <row r="23" spans="1:7" ht="15">
      <c r="A23" s="118">
        <v>203.62</v>
      </c>
      <c r="B23" s="118">
        <f t="shared" si="3"/>
        <v>210.41</v>
      </c>
      <c r="C23" s="118">
        <v>2.21</v>
      </c>
      <c r="D23" s="119">
        <f t="shared" si="5"/>
        <v>8635931.44</v>
      </c>
      <c r="E23" s="119">
        <f t="shared" si="6"/>
        <v>8923908.92</v>
      </c>
      <c r="F23" s="115" t="e">
        <f t="shared" si="4"/>
        <v>#REF!</v>
      </c>
      <c r="G23" s="115" t="e">
        <f t="shared" si="2"/>
        <v>#REF!</v>
      </c>
    </row>
    <row r="24" spans="1:7" ht="15">
      <c r="A24" s="118">
        <v>210.41</v>
      </c>
      <c r="B24" s="118">
        <f t="shared" si="3"/>
        <v>217.2</v>
      </c>
      <c r="C24" s="118">
        <v>2.96</v>
      </c>
      <c r="D24" s="119">
        <f t="shared" si="5"/>
        <v>8923908.92</v>
      </c>
      <c r="E24" s="119">
        <f t="shared" si="6"/>
        <v>9211886.4</v>
      </c>
      <c r="F24" s="115" t="e">
        <f t="shared" si="4"/>
        <v>#REF!</v>
      </c>
      <c r="G24" s="115" t="e">
        <f t="shared" si="2"/>
        <v>#REF!</v>
      </c>
    </row>
    <row r="25" spans="1:7" ht="15">
      <c r="A25" s="118">
        <v>217.2</v>
      </c>
      <c r="B25" s="118">
        <f t="shared" si="3"/>
        <v>223.99</v>
      </c>
      <c r="C25" s="118">
        <v>3.75</v>
      </c>
      <c r="D25" s="119">
        <f t="shared" si="5"/>
        <v>9211886.4</v>
      </c>
      <c r="E25" s="119">
        <f t="shared" si="6"/>
        <v>9499863.88</v>
      </c>
      <c r="F25" s="115" t="e">
        <f t="shared" si="4"/>
        <v>#REF!</v>
      </c>
      <c r="G25" s="115" t="e">
        <f t="shared" si="2"/>
        <v>#REF!</v>
      </c>
    </row>
    <row r="26" spans="1:7" ht="15">
      <c r="A26" s="118">
        <v>223.99</v>
      </c>
      <c r="B26" s="118">
        <f t="shared" si="3"/>
        <v>230.77</v>
      </c>
      <c r="C26" s="118">
        <v>3.87</v>
      </c>
      <c r="D26" s="119">
        <f t="shared" si="5"/>
        <v>9499863.88</v>
      </c>
      <c r="E26" s="119">
        <f t="shared" si="6"/>
        <v>9787417.24</v>
      </c>
      <c r="F26" s="115" t="e">
        <f t="shared" si="4"/>
        <v>#REF!</v>
      </c>
      <c r="G26" s="115" t="e">
        <f t="shared" si="2"/>
        <v>#REF!</v>
      </c>
    </row>
    <row r="27" spans="1:7" ht="15">
      <c r="A27" s="118">
        <v>230.77</v>
      </c>
      <c r="B27" s="118">
        <f t="shared" si="3"/>
        <v>237.56</v>
      </c>
      <c r="C27" s="118">
        <v>4.63</v>
      </c>
      <c r="D27" s="119">
        <f t="shared" si="5"/>
        <v>9787417.24</v>
      </c>
      <c r="E27" s="119">
        <f t="shared" si="6"/>
        <v>10075394.72</v>
      </c>
      <c r="F27" s="115" t="e">
        <f t="shared" si="4"/>
        <v>#REF!</v>
      </c>
      <c r="G27" s="115" t="e">
        <f t="shared" si="2"/>
        <v>#REF!</v>
      </c>
    </row>
    <row r="28" spans="1:7" ht="15">
      <c r="A28" s="118">
        <v>237.56</v>
      </c>
      <c r="B28" s="118">
        <f t="shared" si="3"/>
        <v>244.35</v>
      </c>
      <c r="C28" s="118">
        <v>5.06</v>
      </c>
      <c r="D28" s="119">
        <f t="shared" si="5"/>
        <v>10075394.72</v>
      </c>
      <c r="E28" s="119">
        <f t="shared" si="6"/>
        <v>10363372.2</v>
      </c>
      <c r="F28" s="115" t="e">
        <f t="shared" si="4"/>
        <v>#REF!</v>
      </c>
      <c r="G28" s="115" t="e">
        <f t="shared" si="2"/>
        <v>#REF!</v>
      </c>
    </row>
    <row r="29" spans="1:7" ht="15">
      <c r="A29" s="118">
        <v>244.35</v>
      </c>
      <c r="B29" s="118">
        <f t="shared" si="3"/>
        <v>251.14</v>
      </c>
      <c r="C29" s="118">
        <v>5.5</v>
      </c>
      <c r="D29" s="119">
        <f t="shared" si="5"/>
        <v>10363372.2</v>
      </c>
      <c r="E29" s="119">
        <f t="shared" si="6"/>
        <v>10651349.68</v>
      </c>
      <c r="F29" s="115" t="e">
        <f t="shared" si="4"/>
        <v>#REF!</v>
      </c>
      <c r="G29" s="115" t="e">
        <f t="shared" si="2"/>
        <v>#REF!</v>
      </c>
    </row>
    <row r="30" spans="1:7" ht="15">
      <c r="A30" s="118">
        <v>251.14</v>
      </c>
      <c r="B30" s="118">
        <f t="shared" si="3"/>
        <v>257.92</v>
      </c>
      <c r="C30" s="118">
        <v>5.96</v>
      </c>
      <c r="D30" s="119">
        <f t="shared" si="5"/>
        <v>10651349.68</v>
      </c>
      <c r="E30" s="119">
        <f t="shared" si="6"/>
        <v>10938903.040000001</v>
      </c>
      <c r="F30" s="115" t="e">
        <f t="shared" si="4"/>
        <v>#REF!</v>
      </c>
      <c r="G30" s="115" t="e">
        <f t="shared" si="2"/>
        <v>#REF!</v>
      </c>
    </row>
    <row r="31" spans="1:7" ht="15">
      <c r="A31" s="118">
        <v>257.92</v>
      </c>
      <c r="B31" s="118">
        <f t="shared" si="3"/>
        <v>264.71</v>
      </c>
      <c r="C31" s="118">
        <v>6.44</v>
      </c>
      <c r="D31" s="119">
        <f t="shared" si="5"/>
        <v>10938903.040000001</v>
      </c>
      <c r="E31" s="119">
        <f t="shared" si="6"/>
        <v>11226880.52</v>
      </c>
      <c r="F31" s="115" t="e">
        <f t="shared" si="4"/>
        <v>#REF!</v>
      </c>
      <c r="G31" s="115" t="e">
        <f t="shared" si="2"/>
        <v>#REF!</v>
      </c>
    </row>
    <row r="32" spans="1:7" ht="15">
      <c r="A32" s="118">
        <v>264.71</v>
      </c>
      <c r="B32" s="118">
        <f t="shared" si="3"/>
        <v>271.5</v>
      </c>
      <c r="C32" s="118">
        <v>6.93</v>
      </c>
      <c r="D32" s="119">
        <f t="shared" si="5"/>
        <v>11226880.52</v>
      </c>
      <c r="E32" s="119">
        <f t="shared" si="6"/>
        <v>11514858</v>
      </c>
      <c r="F32" s="115" t="e">
        <f t="shared" si="4"/>
        <v>#REF!</v>
      </c>
      <c r="G32" s="115" t="e">
        <f t="shared" si="2"/>
        <v>#REF!</v>
      </c>
    </row>
    <row r="33" spans="1:7" ht="15">
      <c r="A33" s="118">
        <v>271.5</v>
      </c>
      <c r="B33" s="118">
        <f t="shared" si="3"/>
        <v>278.29</v>
      </c>
      <c r="C33" s="118">
        <v>7.44</v>
      </c>
      <c r="D33" s="119">
        <f t="shared" si="5"/>
        <v>11514858</v>
      </c>
      <c r="E33" s="119">
        <f t="shared" si="6"/>
        <v>11802835.48</v>
      </c>
      <c r="F33" s="115" t="e">
        <f t="shared" si="4"/>
        <v>#REF!</v>
      </c>
      <c r="G33" s="115" t="e">
        <f t="shared" si="2"/>
        <v>#REF!</v>
      </c>
    </row>
    <row r="34" spans="1:7" ht="15">
      <c r="A34" s="118">
        <v>278.29</v>
      </c>
      <c r="B34" s="118">
        <f t="shared" si="3"/>
        <v>285.07</v>
      </c>
      <c r="C34" s="118">
        <v>7.96</v>
      </c>
      <c r="D34" s="119">
        <f t="shared" si="5"/>
        <v>11802835.48</v>
      </c>
      <c r="E34" s="119">
        <f t="shared" si="6"/>
        <v>12090388.84</v>
      </c>
      <c r="F34" s="115" t="e">
        <f t="shared" si="4"/>
        <v>#REF!</v>
      </c>
      <c r="G34" s="115" t="e">
        <f t="shared" si="2"/>
        <v>#REF!</v>
      </c>
    </row>
    <row r="35" spans="1:7" ht="15">
      <c r="A35" s="118">
        <v>285.07</v>
      </c>
      <c r="B35" s="118">
        <f t="shared" si="3"/>
        <v>291.86</v>
      </c>
      <c r="C35" s="118">
        <v>8.5</v>
      </c>
      <c r="D35" s="119">
        <f t="shared" si="5"/>
        <v>12090388.84</v>
      </c>
      <c r="E35" s="119">
        <f t="shared" si="6"/>
        <v>12378366.32</v>
      </c>
      <c r="F35" s="115" t="e">
        <f t="shared" si="4"/>
        <v>#REF!</v>
      </c>
      <c r="G35" s="115" t="e">
        <f t="shared" si="2"/>
        <v>#REF!</v>
      </c>
    </row>
    <row r="36" spans="1:7" ht="15">
      <c r="A36" s="118">
        <v>291.86</v>
      </c>
      <c r="B36" s="118">
        <f t="shared" si="3"/>
        <v>298.65</v>
      </c>
      <c r="C36" s="118">
        <v>9.05</v>
      </c>
      <c r="D36" s="119">
        <f t="shared" si="5"/>
        <v>12378366.32</v>
      </c>
      <c r="E36" s="119">
        <f t="shared" si="6"/>
        <v>12666343.799999999</v>
      </c>
      <c r="F36" s="115" t="e">
        <f t="shared" si="4"/>
        <v>#REF!</v>
      </c>
      <c r="G36" s="115" t="e">
        <f t="shared" si="2"/>
        <v>#REF!</v>
      </c>
    </row>
    <row r="37" spans="1:7" ht="15">
      <c r="A37" s="118">
        <v>298.65</v>
      </c>
      <c r="B37" s="118">
        <f t="shared" si="3"/>
        <v>305.44</v>
      </c>
      <c r="C37" s="118">
        <v>9.62</v>
      </c>
      <c r="D37" s="119">
        <f t="shared" si="5"/>
        <v>12666343.799999999</v>
      </c>
      <c r="E37" s="119">
        <f t="shared" si="6"/>
        <v>12954321.28</v>
      </c>
      <c r="F37" s="115" t="e">
        <f t="shared" si="4"/>
        <v>#REF!</v>
      </c>
      <c r="G37" s="115" t="e">
        <f t="shared" si="2"/>
        <v>#REF!</v>
      </c>
    </row>
    <row r="38" spans="1:7" ht="15">
      <c r="A38" s="118">
        <v>305.44</v>
      </c>
      <c r="B38" s="118">
        <f t="shared" si="3"/>
        <v>312.22</v>
      </c>
      <c r="C38" s="118">
        <v>10.21</v>
      </c>
      <c r="D38" s="119">
        <f t="shared" si="5"/>
        <v>12954321.28</v>
      </c>
      <c r="E38" s="119">
        <f t="shared" si="6"/>
        <v>13241874.64</v>
      </c>
      <c r="F38" s="115" t="e">
        <f t="shared" si="4"/>
        <v>#REF!</v>
      </c>
      <c r="G38" s="115" t="e">
        <f t="shared" si="2"/>
        <v>#REF!</v>
      </c>
    </row>
    <row r="39" spans="1:7" ht="15">
      <c r="A39" s="118">
        <v>312.22</v>
      </c>
      <c r="B39" s="118">
        <f t="shared" si="3"/>
        <v>319.01</v>
      </c>
      <c r="C39" s="118">
        <v>10.81</v>
      </c>
      <c r="D39" s="119">
        <f t="shared" si="5"/>
        <v>13241874.64</v>
      </c>
      <c r="E39" s="119">
        <f t="shared" si="6"/>
        <v>13529852.12</v>
      </c>
      <c r="F39" s="115" t="e">
        <f t="shared" si="4"/>
        <v>#REF!</v>
      </c>
      <c r="G39" s="115" t="e">
        <f t="shared" si="2"/>
        <v>#REF!</v>
      </c>
    </row>
    <row r="40" spans="1:7" ht="15">
      <c r="A40" s="118">
        <v>319.01</v>
      </c>
      <c r="B40" s="118">
        <f t="shared" si="3"/>
        <v>325.8</v>
      </c>
      <c r="C40" s="118">
        <v>11.43</v>
      </c>
      <c r="D40" s="119">
        <f t="shared" si="5"/>
        <v>13529852.12</v>
      </c>
      <c r="E40" s="119">
        <f t="shared" si="6"/>
        <v>13817829.6</v>
      </c>
      <c r="F40" s="115" t="e">
        <f t="shared" si="4"/>
        <v>#REF!</v>
      </c>
      <c r="G40" s="115" t="e">
        <f t="shared" si="2"/>
        <v>#REF!</v>
      </c>
    </row>
    <row r="41" spans="1:7" ht="15">
      <c r="A41" s="118">
        <v>325.8</v>
      </c>
      <c r="B41" s="118">
        <f t="shared" si="3"/>
        <v>332.59</v>
      </c>
      <c r="C41" s="118">
        <v>12.07</v>
      </c>
      <c r="D41" s="119">
        <f t="shared" si="5"/>
        <v>13817829.6</v>
      </c>
      <c r="E41" s="119">
        <f t="shared" si="6"/>
        <v>14105807.079999998</v>
      </c>
      <c r="F41" s="115" t="e">
        <f t="shared" si="4"/>
        <v>#REF!</v>
      </c>
      <c r="G41" s="115" t="e">
        <f t="shared" si="2"/>
        <v>#REF!</v>
      </c>
    </row>
    <row r="42" spans="1:7" ht="15">
      <c r="A42" s="118">
        <v>332.59</v>
      </c>
      <c r="B42" s="118">
        <f t="shared" si="3"/>
        <v>339.37</v>
      </c>
      <c r="C42" s="118">
        <v>12.71</v>
      </c>
      <c r="D42" s="119">
        <f t="shared" si="5"/>
        <v>14105807.079999998</v>
      </c>
      <c r="E42" s="119">
        <f t="shared" si="6"/>
        <v>14393360.44</v>
      </c>
      <c r="F42" s="115" t="e">
        <f t="shared" si="4"/>
        <v>#REF!</v>
      </c>
      <c r="G42" s="115" t="e">
        <f t="shared" si="2"/>
        <v>#REF!</v>
      </c>
    </row>
    <row r="43" spans="1:7" ht="15">
      <c r="A43" s="118">
        <v>339.37</v>
      </c>
      <c r="B43" s="118">
        <f t="shared" si="3"/>
        <v>356.34</v>
      </c>
      <c r="C43" s="118">
        <v>14.06</v>
      </c>
      <c r="D43" s="119">
        <f t="shared" si="5"/>
        <v>14393360.44</v>
      </c>
      <c r="E43" s="119">
        <f t="shared" si="6"/>
        <v>15113092.079999998</v>
      </c>
      <c r="F43" s="115" t="e">
        <f t="shared" si="4"/>
        <v>#REF!</v>
      </c>
      <c r="G43" s="115" t="e">
        <f t="shared" si="2"/>
        <v>#REF!</v>
      </c>
    </row>
    <row r="44" spans="1:7" ht="15">
      <c r="A44" s="118">
        <v>356.34</v>
      </c>
      <c r="B44" s="118">
        <f t="shared" si="3"/>
        <v>373.31</v>
      </c>
      <c r="C44" s="118">
        <v>15.83</v>
      </c>
      <c r="D44" s="119">
        <f t="shared" si="5"/>
        <v>15113092.079999998</v>
      </c>
      <c r="E44" s="119">
        <f t="shared" si="6"/>
        <v>15832823.72</v>
      </c>
      <c r="F44" s="115" t="e">
        <f t="shared" si="4"/>
        <v>#REF!</v>
      </c>
      <c r="G44" s="115" t="e">
        <f t="shared" si="2"/>
        <v>#REF!</v>
      </c>
    </row>
    <row r="45" spans="1:7" ht="15">
      <c r="A45" s="118">
        <v>373.31</v>
      </c>
      <c r="B45" s="118">
        <f t="shared" si="3"/>
        <v>390.28</v>
      </c>
      <c r="C45" s="118">
        <v>17.69</v>
      </c>
      <c r="D45" s="119">
        <f t="shared" si="5"/>
        <v>15832823.72</v>
      </c>
      <c r="E45" s="119">
        <f t="shared" si="6"/>
        <v>16552555.36</v>
      </c>
      <c r="F45" s="115" t="e">
        <f t="shared" si="4"/>
        <v>#REF!</v>
      </c>
      <c r="G45" s="115" t="e">
        <f t="shared" si="2"/>
        <v>#REF!</v>
      </c>
    </row>
    <row r="46" spans="1:7" ht="15">
      <c r="A46" s="118">
        <v>390.28</v>
      </c>
      <c r="B46" s="118">
        <f t="shared" si="3"/>
        <v>407.25</v>
      </c>
      <c r="C46" s="118">
        <v>19.65</v>
      </c>
      <c r="D46" s="119">
        <f t="shared" si="5"/>
        <v>16552555.36</v>
      </c>
      <c r="E46" s="119">
        <f t="shared" si="6"/>
        <v>17272287</v>
      </c>
      <c r="F46" s="115" t="e">
        <f t="shared" si="4"/>
        <v>#REF!</v>
      </c>
      <c r="G46" s="115" t="e">
        <f t="shared" si="2"/>
        <v>#REF!</v>
      </c>
    </row>
    <row r="47" spans="1:7" ht="15">
      <c r="A47" s="118">
        <v>407.25</v>
      </c>
      <c r="B47" s="118">
        <f t="shared" si="3"/>
        <v>424.22</v>
      </c>
      <c r="C47" s="118">
        <v>21.69</v>
      </c>
      <c r="D47" s="119">
        <f t="shared" si="5"/>
        <v>17272287</v>
      </c>
      <c r="E47" s="119">
        <f t="shared" si="6"/>
        <v>17992018.64</v>
      </c>
      <c r="F47" s="115" t="e">
        <f t="shared" si="4"/>
        <v>#REF!</v>
      </c>
      <c r="G47" s="115" t="e">
        <f t="shared" si="2"/>
        <v>#REF!</v>
      </c>
    </row>
    <row r="48" spans="1:7" ht="15">
      <c r="A48" s="118">
        <v>424.22</v>
      </c>
      <c r="B48" s="118">
        <f t="shared" si="3"/>
        <v>441.19</v>
      </c>
      <c r="C48" s="118">
        <v>23.84</v>
      </c>
      <c r="D48" s="119">
        <f t="shared" si="5"/>
        <v>17992018.64</v>
      </c>
      <c r="E48" s="119">
        <f t="shared" si="6"/>
        <v>18711750.28</v>
      </c>
      <c r="F48" s="115" t="e">
        <f t="shared" si="4"/>
        <v>#REF!</v>
      </c>
      <c r="G48" s="115" t="e">
        <f t="shared" si="2"/>
        <v>#REF!</v>
      </c>
    </row>
    <row r="49" spans="1:7" ht="15">
      <c r="A49" s="118">
        <v>441.19</v>
      </c>
      <c r="B49" s="118">
        <f t="shared" si="3"/>
        <v>458.16</v>
      </c>
      <c r="C49" s="118">
        <v>26.07</v>
      </c>
      <c r="D49" s="119">
        <f t="shared" si="5"/>
        <v>18711750.28</v>
      </c>
      <c r="E49" s="119">
        <f t="shared" si="6"/>
        <v>19431481.92</v>
      </c>
      <c r="F49" s="115" t="e">
        <f t="shared" si="4"/>
        <v>#REF!</v>
      </c>
      <c r="G49" s="115" t="e">
        <f t="shared" si="2"/>
        <v>#REF!</v>
      </c>
    </row>
    <row r="50" spans="1:7" ht="15">
      <c r="A50" s="118">
        <v>458.16</v>
      </c>
      <c r="B50" s="118">
        <f t="shared" si="3"/>
        <v>475.12</v>
      </c>
      <c r="C50" s="118">
        <v>28.39</v>
      </c>
      <c r="D50" s="119">
        <f t="shared" si="5"/>
        <v>19431481.92</v>
      </c>
      <c r="E50" s="119">
        <f t="shared" si="6"/>
        <v>20150789.44</v>
      </c>
      <c r="F50" s="115" t="e">
        <f t="shared" si="4"/>
        <v>#REF!</v>
      </c>
      <c r="G50" s="115" t="e">
        <f t="shared" si="2"/>
        <v>#REF!</v>
      </c>
    </row>
    <row r="51" spans="1:7" ht="15">
      <c r="A51" s="118">
        <v>475.12</v>
      </c>
      <c r="B51" s="118">
        <f t="shared" si="3"/>
        <v>492.09</v>
      </c>
      <c r="C51" s="118">
        <v>30.8</v>
      </c>
      <c r="D51" s="119">
        <f t="shared" si="5"/>
        <v>20150789.44</v>
      </c>
      <c r="E51" s="119">
        <f t="shared" si="6"/>
        <v>20870521.08</v>
      </c>
      <c r="F51" s="115" t="e">
        <f t="shared" si="4"/>
        <v>#REF!</v>
      </c>
      <c r="G51" s="115" t="e">
        <f t="shared" si="2"/>
        <v>#REF!</v>
      </c>
    </row>
    <row r="52" spans="1:7" ht="15">
      <c r="A52" s="118">
        <v>492.09</v>
      </c>
      <c r="B52" s="118">
        <f t="shared" si="3"/>
        <v>509.06</v>
      </c>
      <c r="C52" s="118">
        <v>33.29</v>
      </c>
      <c r="D52" s="119">
        <f t="shared" si="5"/>
        <v>20870521.08</v>
      </c>
      <c r="E52" s="119">
        <f t="shared" si="6"/>
        <v>21590252.72</v>
      </c>
      <c r="F52" s="115" t="e">
        <f t="shared" si="4"/>
        <v>#REF!</v>
      </c>
      <c r="G52" s="115" t="e">
        <f t="shared" si="2"/>
        <v>#REF!</v>
      </c>
    </row>
    <row r="53" spans="1:7" ht="15">
      <c r="A53" s="118">
        <v>509.06</v>
      </c>
      <c r="B53" s="118">
        <f t="shared" si="3"/>
        <v>526.03</v>
      </c>
      <c r="C53" s="118">
        <v>35.87</v>
      </c>
      <c r="D53" s="119">
        <f t="shared" si="5"/>
        <v>21590252.72</v>
      </c>
      <c r="E53" s="119">
        <f t="shared" si="6"/>
        <v>22309984.36</v>
      </c>
      <c r="F53" s="115" t="e">
        <f t="shared" si="4"/>
        <v>#REF!</v>
      </c>
      <c r="G53" s="115" t="e">
        <f t="shared" si="2"/>
        <v>#REF!</v>
      </c>
    </row>
    <row r="54" spans="1:7" ht="15">
      <c r="A54" s="118">
        <v>526.03</v>
      </c>
      <c r="B54" s="118">
        <f t="shared" si="3"/>
        <v>543</v>
      </c>
      <c r="C54" s="118">
        <v>38.54</v>
      </c>
      <c r="D54" s="119">
        <f t="shared" si="5"/>
        <v>22309984.36</v>
      </c>
      <c r="E54" s="119">
        <f t="shared" si="6"/>
        <v>23029716</v>
      </c>
      <c r="F54" s="115" t="e">
        <f t="shared" si="4"/>
        <v>#REF!</v>
      </c>
      <c r="G54" s="115" t="e">
        <f t="shared" si="2"/>
        <v>#REF!</v>
      </c>
    </row>
    <row r="55" spans="1:7" ht="15">
      <c r="A55" s="118">
        <v>543</v>
      </c>
      <c r="B55" s="118">
        <f t="shared" si="3"/>
        <v>559.97</v>
      </c>
      <c r="C55" s="118">
        <v>41.29</v>
      </c>
      <c r="D55" s="119">
        <f t="shared" si="5"/>
        <v>23029716</v>
      </c>
      <c r="E55" s="119">
        <f t="shared" si="6"/>
        <v>23749447.64</v>
      </c>
      <c r="F55" s="115" t="e">
        <f t="shared" si="4"/>
        <v>#REF!</v>
      </c>
      <c r="G55" s="115" t="e">
        <f t="shared" si="2"/>
        <v>#REF!</v>
      </c>
    </row>
    <row r="56" spans="1:7" ht="15">
      <c r="A56" s="118">
        <v>559.97</v>
      </c>
      <c r="B56" s="118">
        <f t="shared" si="3"/>
        <v>576.94</v>
      </c>
      <c r="C56" s="118">
        <v>44.11</v>
      </c>
      <c r="D56" s="119">
        <f t="shared" si="5"/>
        <v>23749447.64</v>
      </c>
      <c r="E56" s="119">
        <f t="shared" si="6"/>
        <v>24469179.28</v>
      </c>
      <c r="F56" s="115" t="e">
        <f t="shared" si="4"/>
        <v>#REF!</v>
      </c>
      <c r="G56" s="115" t="e">
        <f t="shared" si="2"/>
        <v>#REF!</v>
      </c>
    </row>
    <row r="57" spans="1:7" ht="15">
      <c r="A57" s="118">
        <v>576.94</v>
      </c>
      <c r="B57" s="118">
        <f t="shared" si="3"/>
        <v>593.9</v>
      </c>
      <c r="C57" s="118">
        <v>47.02</v>
      </c>
      <c r="D57" s="119">
        <f t="shared" si="5"/>
        <v>24469179.28</v>
      </c>
      <c r="E57" s="119">
        <f t="shared" si="6"/>
        <v>25188486.8</v>
      </c>
      <c r="F57" s="115" t="e">
        <f t="shared" si="4"/>
        <v>#REF!</v>
      </c>
      <c r="G57" s="115" t="e">
        <f t="shared" si="2"/>
        <v>#REF!</v>
      </c>
    </row>
    <row r="58" spans="1:7" ht="15">
      <c r="A58" s="118">
        <v>593.9</v>
      </c>
      <c r="B58" s="118">
        <f t="shared" si="3"/>
        <v>610.87</v>
      </c>
      <c r="C58" s="118">
        <v>50</v>
      </c>
      <c r="D58" s="119">
        <f t="shared" si="5"/>
        <v>25188486.8</v>
      </c>
      <c r="E58" s="119">
        <f t="shared" si="6"/>
        <v>25908218.44</v>
      </c>
      <c r="F58" s="115" t="e">
        <f t="shared" si="4"/>
        <v>#REF!</v>
      </c>
      <c r="G58" s="115" t="e">
        <f t="shared" si="2"/>
        <v>#REF!</v>
      </c>
    </row>
    <row r="59" spans="1:7" ht="15">
      <c r="A59" s="118">
        <v>610.87</v>
      </c>
      <c r="B59" s="118">
        <f t="shared" si="3"/>
        <v>627.84</v>
      </c>
      <c r="C59" s="118">
        <v>53.06</v>
      </c>
      <c r="D59" s="119">
        <f t="shared" si="5"/>
        <v>25908218.44</v>
      </c>
      <c r="E59" s="119">
        <f t="shared" si="6"/>
        <v>26627950.080000002</v>
      </c>
      <c r="F59" s="115" t="e">
        <f t="shared" si="4"/>
        <v>#REF!</v>
      </c>
      <c r="G59" s="115" t="e">
        <f t="shared" si="2"/>
        <v>#REF!</v>
      </c>
    </row>
    <row r="60" spans="1:7" ht="15">
      <c r="A60" s="118">
        <v>627.84</v>
      </c>
      <c r="B60" s="118">
        <f t="shared" si="3"/>
        <v>644.81</v>
      </c>
      <c r="C60" s="118">
        <v>56.2</v>
      </c>
      <c r="D60" s="119">
        <f t="shared" si="5"/>
        <v>26627950.080000002</v>
      </c>
      <c r="E60" s="119">
        <f t="shared" si="6"/>
        <v>27347681.72</v>
      </c>
      <c r="F60" s="115" t="e">
        <f t="shared" si="4"/>
        <v>#REF!</v>
      </c>
      <c r="G60" s="115" t="e">
        <f t="shared" si="2"/>
        <v>#REF!</v>
      </c>
    </row>
    <row r="61" spans="1:7" ht="15">
      <c r="A61" s="118">
        <v>644.81</v>
      </c>
      <c r="B61" s="118">
        <f t="shared" si="3"/>
        <v>661.78</v>
      </c>
      <c r="C61" s="118">
        <v>59.4</v>
      </c>
      <c r="D61" s="119">
        <f t="shared" si="5"/>
        <v>27347681.72</v>
      </c>
      <c r="E61" s="119">
        <f t="shared" si="6"/>
        <v>28067413.36</v>
      </c>
      <c r="F61" s="115" t="e">
        <f t="shared" si="4"/>
        <v>#REF!</v>
      </c>
      <c r="G61" s="115" t="e">
        <f t="shared" si="2"/>
        <v>#REF!</v>
      </c>
    </row>
    <row r="62" spans="1:7" ht="15">
      <c r="A62" s="118">
        <v>661.78</v>
      </c>
      <c r="B62" s="118">
        <f t="shared" si="3"/>
        <v>678.75</v>
      </c>
      <c r="C62" s="118">
        <v>62.68</v>
      </c>
      <c r="D62" s="119">
        <f t="shared" si="5"/>
        <v>28067413.36</v>
      </c>
      <c r="E62" s="119">
        <f t="shared" si="6"/>
        <v>28787145</v>
      </c>
      <c r="F62" s="115" t="e">
        <f t="shared" si="4"/>
        <v>#REF!</v>
      </c>
      <c r="G62" s="115" t="e">
        <f t="shared" si="2"/>
        <v>#REF!</v>
      </c>
    </row>
    <row r="63" spans="1:7" ht="15">
      <c r="A63" s="118">
        <v>678.75</v>
      </c>
      <c r="B63" s="118">
        <f t="shared" si="3"/>
        <v>695.72</v>
      </c>
      <c r="C63" s="118">
        <v>66.02</v>
      </c>
      <c r="D63" s="119">
        <f t="shared" si="5"/>
        <v>28787145</v>
      </c>
      <c r="E63" s="119">
        <f t="shared" si="6"/>
        <v>29506876.64</v>
      </c>
      <c r="F63" s="115" t="e">
        <f t="shared" si="4"/>
        <v>#REF!</v>
      </c>
      <c r="G63" s="115" t="e">
        <f t="shared" si="2"/>
        <v>#REF!</v>
      </c>
    </row>
    <row r="64" spans="1:7" ht="15">
      <c r="A64" s="118">
        <v>695.72</v>
      </c>
      <c r="B64" s="118">
        <f t="shared" si="3"/>
        <v>712.69</v>
      </c>
      <c r="C64" s="118">
        <v>69.43</v>
      </c>
      <c r="D64" s="119">
        <f t="shared" si="5"/>
        <v>29506876.64</v>
      </c>
      <c r="E64" s="119">
        <f t="shared" si="6"/>
        <v>30226608.28</v>
      </c>
      <c r="F64" s="115" t="e">
        <f t="shared" si="4"/>
        <v>#REF!</v>
      </c>
      <c r="G64" s="115" t="e">
        <f t="shared" si="2"/>
        <v>#REF!</v>
      </c>
    </row>
    <row r="65" spans="1:7" ht="15">
      <c r="A65" s="118">
        <v>712.69</v>
      </c>
      <c r="B65" s="118">
        <f t="shared" si="3"/>
        <v>729.65</v>
      </c>
      <c r="C65" s="118">
        <v>72.9</v>
      </c>
      <c r="D65" s="119">
        <f t="shared" si="5"/>
        <v>30226608.28</v>
      </c>
      <c r="E65" s="119">
        <f t="shared" si="6"/>
        <v>30945915.8</v>
      </c>
      <c r="F65" s="115" t="e">
        <f t="shared" si="4"/>
        <v>#REF!</v>
      </c>
      <c r="G65" s="115" t="e">
        <f t="shared" si="2"/>
        <v>#REF!</v>
      </c>
    </row>
    <row r="66" spans="1:7" ht="15">
      <c r="A66" s="118">
        <v>729.65</v>
      </c>
      <c r="B66" s="118">
        <f t="shared" si="3"/>
        <v>746.62</v>
      </c>
      <c r="C66" s="118">
        <v>76.43</v>
      </c>
      <c r="D66" s="119">
        <f t="shared" si="5"/>
        <v>30945915.8</v>
      </c>
      <c r="E66" s="119">
        <f t="shared" si="6"/>
        <v>31665647.44</v>
      </c>
      <c r="F66" s="115" t="e">
        <f t="shared" si="4"/>
        <v>#REF!</v>
      </c>
      <c r="G66" s="115" t="e">
        <f t="shared" si="2"/>
        <v>#REF!</v>
      </c>
    </row>
    <row r="67" spans="1:7" ht="15">
      <c r="A67" s="118">
        <v>746.62</v>
      </c>
      <c r="B67" s="118">
        <f t="shared" si="3"/>
        <v>763.59</v>
      </c>
      <c r="C67" s="118">
        <v>80.03</v>
      </c>
      <c r="D67" s="119">
        <f t="shared" si="5"/>
        <v>31665647.44</v>
      </c>
      <c r="E67" s="119">
        <f t="shared" si="6"/>
        <v>32385379.080000002</v>
      </c>
      <c r="F67" s="115" t="e">
        <f t="shared" si="4"/>
        <v>#REF!</v>
      </c>
      <c r="G67" s="115" t="e">
        <f t="shared" si="2"/>
        <v>#REF!</v>
      </c>
    </row>
    <row r="68" spans="1:7" ht="15">
      <c r="A68" s="118">
        <v>763.59</v>
      </c>
      <c r="B68" s="118">
        <f t="shared" si="3"/>
        <v>780.56</v>
      </c>
      <c r="C68" s="118">
        <v>83.68</v>
      </c>
      <c r="D68" s="119">
        <f t="shared" si="5"/>
        <v>32385379.080000002</v>
      </c>
      <c r="E68" s="119">
        <f t="shared" si="6"/>
        <v>33105110.72</v>
      </c>
      <c r="F68" s="115" t="e">
        <f t="shared" si="4"/>
        <v>#REF!</v>
      </c>
      <c r="G68" s="115" t="e">
        <f t="shared" si="2"/>
        <v>#REF!</v>
      </c>
    </row>
    <row r="69" spans="1:7" ht="15">
      <c r="A69" s="118">
        <v>780.56</v>
      </c>
      <c r="B69" s="118">
        <f t="shared" si="3"/>
        <v>797.53</v>
      </c>
      <c r="C69" s="118">
        <v>87.39</v>
      </c>
      <c r="D69" s="119">
        <f t="shared" si="5"/>
        <v>33105110.72</v>
      </c>
      <c r="E69" s="119">
        <f t="shared" si="6"/>
        <v>33824842.36</v>
      </c>
      <c r="F69" s="115" t="e">
        <f t="shared" si="4"/>
        <v>#REF!</v>
      </c>
      <c r="G69" s="115" t="e">
        <f t="shared" si="2"/>
        <v>#REF!</v>
      </c>
    </row>
    <row r="70" spans="1:7" ht="15">
      <c r="A70" s="118">
        <v>797.53</v>
      </c>
      <c r="B70" s="118">
        <f t="shared" si="3"/>
        <v>814.5</v>
      </c>
      <c r="C70" s="118">
        <v>91.15</v>
      </c>
      <c r="D70" s="119">
        <f t="shared" si="5"/>
        <v>33824842.36</v>
      </c>
      <c r="E70" s="119">
        <f t="shared" si="6"/>
        <v>34544574</v>
      </c>
      <c r="F70" s="115" t="e">
        <f t="shared" si="4"/>
        <v>#REF!</v>
      </c>
      <c r="G70" s="115" t="e">
        <f aca="true" t="shared" si="7" ref="G70:G89">+IF(F70=TRUE,(C70),0)</f>
        <v>#REF!</v>
      </c>
    </row>
    <row r="71" spans="1:7" ht="15">
      <c r="A71" s="118">
        <v>814.5</v>
      </c>
      <c r="B71" s="118">
        <f aca="true" t="shared" si="8" ref="B71:B88">+A72</f>
        <v>831.47</v>
      </c>
      <c r="C71" s="118">
        <v>94.96</v>
      </c>
      <c r="D71" s="119">
        <f aca="true" t="shared" si="9" ref="D71:D90">+A71*$C$2</f>
        <v>34544574</v>
      </c>
      <c r="E71" s="119">
        <f aca="true" t="shared" si="10" ref="E71:E89">+D72</f>
        <v>35264305.64</v>
      </c>
      <c r="F71" s="115" t="e">
        <f aca="true" t="shared" si="11" ref="F71:F90">+AND($D$111&gt;=A71,$D$111&lt;B71)</f>
        <v>#REF!</v>
      </c>
      <c r="G71" s="115" t="e">
        <f t="shared" si="7"/>
        <v>#REF!</v>
      </c>
    </row>
    <row r="72" spans="1:7" ht="15">
      <c r="A72" s="118">
        <v>831.47</v>
      </c>
      <c r="B72" s="118">
        <f t="shared" si="8"/>
        <v>848.44</v>
      </c>
      <c r="C72" s="118">
        <v>98.81</v>
      </c>
      <c r="D72" s="119">
        <f t="shared" si="9"/>
        <v>35264305.64</v>
      </c>
      <c r="E72" s="119">
        <f t="shared" si="10"/>
        <v>35984037.28</v>
      </c>
      <c r="F72" s="115" t="e">
        <f t="shared" si="11"/>
        <v>#REF!</v>
      </c>
      <c r="G72" s="115" t="e">
        <f t="shared" si="7"/>
        <v>#REF!</v>
      </c>
    </row>
    <row r="73" spans="1:7" ht="15">
      <c r="A73" s="118">
        <v>848.44</v>
      </c>
      <c r="B73" s="118">
        <f t="shared" si="8"/>
        <v>865.4</v>
      </c>
      <c r="C73" s="118">
        <v>102.72</v>
      </c>
      <c r="D73" s="119">
        <f t="shared" si="9"/>
        <v>35984037.28</v>
      </c>
      <c r="E73" s="119">
        <f t="shared" si="10"/>
        <v>36703344.8</v>
      </c>
      <c r="F73" s="115" t="e">
        <f t="shared" si="11"/>
        <v>#REF!</v>
      </c>
      <c r="G73" s="115" t="e">
        <f t="shared" si="7"/>
        <v>#REF!</v>
      </c>
    </row>
    <row r="74" spans="1:7" ht="15">
      <c r="A74" s="118">
        <v>865.4</v>
      </c>
      <c r="B74" s="118">
        <f t="shared" si="8"/>
        <v>882.37</v>
      </c>
      <c r="C74" s="118">
        <v>106.67</v>
      </c>
      <c r="D74" s="119">
        <f t="shared" si="9"/>
        <v>36703344.8</v>
      </c>
      <c r="E74" s="119">
        <f t="shared" si="10"/>
        <v>37423076.44</v>
      </c>
      <c r="F74" s="115" t="e">
        <f t="shared" si="11"/>
        <v>#REF!</v>
      </c>
      <c r="G74" s="115" t="e">
        <f t="shared" si="7"/>
        <v>#REF!</v>
      </c>
    </row>
    <row r="75" spans="1:7" ht="15">
      <c r="A75" s="118">
        <v>882.37</v>
      </c>
      <c r="B75" s="118">
        <f t="shared" si="8"/>
        <v>899.34</v>
      </c>
      <c r="C75" s="118">
        <v>110.65</v>
      </c>
      <c r="D75" s="119">
        <f t="shared" si="9"/>
        <v>37423076.44</v>
      </c>
      <c r="E75" s="119">
        <f t="shared" si="10"/>
        <v>38142808.08</v>
      </c>
      <c r="F75" s="115" t="e">
        <f t="shared" si="11"/>
        <v>#REF!</v>
      </c>
      <c r="G75" s="115" t="e">
        <f t="shared" si="7"/>
        <v>#REF!</v>
      </c>
    </row>
    <row r="76" spans="1:7" ht="15">
      <c r="A76" s="118">
        <v>899.34</v>
      </c>
      <c r="B76" s="118">
        <f t="shared" si="8"/>
        <v>916.31</v>
      </c>
      <c r="C76" s="118">
        <v>114.68</v>
      </c>
      <c r="D76" s="119">
        <f t="shared" si="9"/>
        <v>38142808.08</v>
      </c>
      <c r="E76" s="119">
        <f t="shared" si="10"/>
        <v>38862539.72</v>
      </c>
      <c r="F76" s="115" t="e">
        <f t="shared" si="11"/>
        <v>#REF!</v>
      </c>
      <c r="G76" s="115" t="e">
        <f t="shared" si="7"/>
        <v>#REF!</v>
      </c>
    </row>
    <row r="77" spans="1:7" ht="15">
      <c r="A77" s="118">
        <v>916.31</v>
      </c>
      <c r="B77" s="118">
        <f t="shared" si="8"/>
        <v>933.28</v>
      </c>
      <c r="C77" s="118">
        <v>118.74</v>
      </c>
      <c r="D77" s="119">
        <f t="shared" si="9"/>
        <v>38862539.72</v>
      </c>
      <c r="E77" s="119">
        <f t="shared" si="10"/>
        <v>39582271.36</v>
      </c>
      <c r="F77" s="115" t="e">
        <f t="shared" si="11"/>
        <v>#REF!</v>
      </c>
      <c r="G77" s="115" t="e">
        <f t="shared" si="7"/>
        <v>#REF!</v>
      </c>
    </row>
    <row r="78" spans="1:7" ht="15">
      <c r="A78" s="118">
        <v>933.28</v>
      </c>
      <c r="B78" s="118">
        <f t="shared" si="8"/>
        <v>950.25</v>
      </c>
      <c r="C78" s="118">
        <v>122.84</v>
      </c>
      <c r="D78" s="119">
        <f t="shared" si="9"/>
        <v>39582271.36</v>
      </c>
      <c r="E78" s="119">
        <f t="shared" si="10"/>
        <v>40302003</v>
      </c>
      <c r="F78" s="115" t="e">
        <f t="shared" si="11"/>
        <v>#REF!</v>
      </c>
      <c r="G78" s="115" t="e">
        <f t="shared" si="7"/>
        <v>#REF!</v>
      </c>
    </row>
    <row r="79" spans="1:7" ht="15">
      <c r="A79" s="118">
        <v>950.25</v>
      </c>
      <c r="B79" s="118">
        <f t="shared" si="8"/>
        <v>967.22</v>
      </c>
      <c r="C79" s="118">
        <v>126.96</v>
      </c>
      <c r="D79" s="119">
        <f t="shared" si="9"/>
        <v>40302003</v>
      </c>
      <c r="E79" s="119">
        <f t="shared" si="10"/>
        <v>41021734.64</v>
      </c>
      <c r="F79" s="115" t="e">
        <f t="shared" si="11"/>
        <v>#REF!</v>
      </c>
      <c r="G79" s="115" t="e">
        <f t="shared" si="7"/>
        <v>#REF!</v>
      </c>
    </row>
    <row r="80" spans="1:7" ht="15">
      <c r="A80" s="118">
        <v>967.22</v>
      </c>
      <c r="B80" s="118">
        <f t="shared" si="8"/>
        <v>984.19</v>
      </c>
      <c r="C80" s="118">
        <v>131.11</v>
      </c>
      <c r="D80" s="119">
        <f t="shared" si="9"/>
        <v>41021734.64</v>
      </c>
      <c r="E80" s="119">
        <f t="shared" si="10"/>
        <v>41741466.28</v>
      </c>
      <c r="F80" s="115" t="e">
        <f>+AND($D$111&gt;=A80,$D$111&lt;B80)</f>
        <v>#REF!</v>
      </c>
      <c r="G80" s="115" t="e">
        <f t="shared" si="7"/>
        <v>#REF!</v>
      </c>
    </row>
    <row r="81" spans="1:7" ht="15">
      <c r="A81" s="118">
        <v>984.19</v>
      </c>
      <c r="B81" s="118">
        <f t="shared" si="8"/>
        <v>1001.15</v>
      </c>
      <c r="C81" s="118">
        <v>135.29</v>
      </c>
      <c r="D81" s="119">
        <f t="shared" si="9"/>
        <v>41741466.28</v>
      </c>
      <c r="E81" s="119">
        <f t="shared" si="10"/>
        <v>42460773.8</v>
      </c>
      <c r="F81" s="115" t="e">
        <f t="shared" si="11"/>
        <v>#REF!</v>
      </c>
      <c r="G81" s="115" t="e">
        <f t="shared" si="7"/>
        <v>#REF!</v>
      </c>
    </row>
    <row r="82" spans="1:7" ht="15">
      <c r="A82" s="118">
        <v>1001.15</v>
      </c>
      <c r="B82" s="118">
        <f t="shared" si="8"/>
        <v>1018.12</v>
      </c>
      <c r="C82" s="118">
        <v>139.49</v>
      </c>
      <c r="D82" s="119">
        <f t="shared" si="9"/>
        <v>42460773.8</v>
      </c>
      <c r="E82" s="119">
        <f t="shared" si="10"/>
        <v>43180505.44</v>
      </c>
      <c r="F82" s="115" t="e">
        <f t="shared" si="11"/>
        <v>#REF!</v>
      </c>
      <c r="G82" s="115" t="e">
        <f t="shared" si="7"/>
        <v>#REF!</v>
      </c>
    </row>
    <row r="83" spans="1:7" ht="15">
      <c r="A83" s="118">
        <v>1018.12</v>
      </c>
      <c r="B83" s="118">
        <f t="shared" si="8"/>
        <v>1035.09</v>
      </c>
      <c r="C83" s="118">
        <v>143.71</v>
      </c>
      <c r="D83" s="119">
        <f t="shared" si="9"/>
        <v>43180505.44</v>
      </c>
      <c r="E83" s="119">
        <f t="shared" si="10"/>
        <v>43900237.08</v>
      </c>
      <c r="F83" s="115" t="e">
        <f t="shared" si="11"/>
        <v>#REF!</v>
      </c>
      <c r="G83" s="115" t="e">
        <f t="shared" si="7"/>
        <v>#REF!</v>
      </c>
    </row>
    <row r="84" spans="1:7" ht="15">
      <c r="A84" s="118">
        <v>1035.09</v>
      </c>
      <c r="B84" s="118">
        <f t="shared" si="8"/>
        <v>1052.06</v>
      </c>
      <c r="C84" s="118">
        <v>147.94</v>
      </c>
      <c r="D84" s="119">
        <f t="shared" si="9"/>
        <v>43900237.08</v>
      </c>
      <c r="E84" s="119">
        <f t="shared" si="10"/>
        <v>44619968.72</v>
      </c>
      <c r="F84" s="115" t="e">
        <f t="shared" si="11"/>
        <v>#REF!</v>
      </c>
      <c r="G84" s="115" t="e">
        <f t="shared" si="7"/>
        <v>#REF!</v>
      </c>
    </row>
    <row r="85" spans="1:7" ht="15">
      <c r="A85" s="118">
        <v>1052.06</v>
      </c>
      <c r="B85" s="118">
        <f t="shared" si="8"/>
        <v>1069.03</v>
      </c>
      <c r="C85" s="118">
        <v>152.19</v>
      </c>
      <c r="D85" s="119">
        <f t="shared" si="9"/>
        <v>44619968.72</v>
      </c>
      <c r="E85" s="119">
        <f t="shared" si="10"/>
        <v>45339700.36</v>
      </c>
      <c r="F85" s="115" t="e">
        <f t="shared" si="11"/>
        <v>#REF!</v>
      </c>
      <c r="G85" s="115" t="e">
        <f t="shared" si="7"/>
        <v>#REF!</v>
      </c>
    </row>
    <row r="86" spans="1:7" ht="15">
      <c r="A86" s="118">
        <v>1069.03</v>
      </c>
      <c r="B86" s="118">
        <f t="shared" si="8"/>
        <v>1086</v>
      </c>
      <c r="C86" s="118">
        <v>156.45</v>
      </c>
      <c r="D86" s="119">
        <f t="shared" si="9"/>
        <v>45339700.36</v>
      </c>
      <c r="E86" s="119">
        <f t="shared" si="10"/>
        <v>46059432</v>
      </c>
      <c r="F86" s="115" t="e">
        <f t="shared" si="11"/>
        <v>#REF!</v>
      </c>
      <c r="G86" s="115" t="e">
        <f t="shared" si="7"/>
        <v>#REF!</v>
      </c>
    </row>
    <row r="87" spans="1:7" ht="15">
      <c r="A87" s="118">
        <v>1086</v>
      </c>
      <c r="B87" s="118">
        <f t="shared" si="8"/>
        <v>1102.97</v>
      </c>
      <c r="C87" s="118">
        <v>160.72</v>
      </c>
      <c r="D87" s="119">
        <f t="shared" si="9"/>
        <v>46059432</v>
      </c>
      <c r="E87" s="119">
        <f t="shared" si="10"/>
        <v>46779163.64</v>
      </c>
      <c r="F87" s="115" t="e">
        <f t="shared" si="11"/>
        <v>#REF!</v>
      </c>
      <c r="G87" s="115" t="e">
        <f t="shared" si="7"/>
        <v>#REF!</v>
      </c>
    </row>
    <row r="88" spans="1:7" ht="15">
      <c r="A88" s="118">
        <v>1102.97</v>
      </c>
      <c r="B88" s="118">
        <f t="shared" si="8"/>
        <v>1119.93</v>
      </c>
      <c r="C88" s="118">
        <v>164.99</v>
      </c>
      <c r="D88" s="119">
        <f t="shared" si="9"/>
        <v>46779163.64</v>
      </c>
      <c r="E88" s="119">
        <f t="shared" si="10"/>
        <v>47498471.160000004</v>
      </c>
      <c r="F88" s="115" t="e">
        <f t="shared" si="11"/>
        <v>#REF!</v>
      </c>
      <c r="G88" s="115" t="e">
        <f t="shared" si="7"/>
        <v>#REF!</v>
      </c>
    </row>
    <row r="89" spans="1:7" ht="15">
      <c r="A89" s="118">
        <v>1119.93</v>
      </c>
      <c r="B89" s="118">
        <v>1136.92</v>
      </c>
      <c r="C89" s="118">
        <v>169.26</v>
      </c>
      <c r="D89" s="119">
        <f t="shared" si="9"/>
        <v>47498471.160000004</v>
      </c>
      <c r="E89" s="119">
        <f t="shared" si="10"/>
        <v>48219475.160000004</v>
      </c>
      <c r="F89" s="115" t="e">
        <f t="shared" si="11"/>
        <v>#REF!</v>
      </c>
      <c r="G89" s="115" t="e">
        <f t="shared" si="7"/>
        <v>#REF!</v>
      </c>
    </row>
    <row r="90" spans="1:7" ht="15">
      <c r="A90" s="118">
        <v>1136.93</v>
      </c>
      <c r="B90" s="120">
        <v>9999999999</v>
      </c>
      <c r="C90" s="120" t="s">
        <v>55</v>
      </c>
      <c r="D90" s="119">
        <f t="shared" si="9"/>
        <v>48219475.160000004</v>
      </c>
      <c r="E90" s="119">
        <v>999999999</v>
      </c>
      <c r="F90" s="115" t="e">
        <f t="shared" si="11"/>
        <v>#REF!</v>
      </c>
      <c r="G90" s="115" t="e">
        <f>+IF(F90=TRUE,(((D105/C2)*27%)-135.17),0)</f>
        <v>#REF!</v>
      </c>
    </row>
    <row r="91" spans="1:5" ht="15">
      <c r="A91" s="114"/>
      <c r="B91" s="114"/>
      <c r="C91" s="114"/>
      <c r="D91" s="114"/>
      <c r="E91" s="114"/>
    </row>
    <row r="92" spans="1:5" ht="15">
      <c r="A92" s="114"/>
      <c r="B92" s="114"/>
      <c r="C92" s="114"/>
      <c r="D92" s="114"/>
      <c r="E92" s="114"/>
    </row>
    <row r="93" spans="1:7" ht="15">
      <c r="A93" s="114"/>
      <c r="B93" s="114"/>
      <c r="C93" s="114"/>
      <c r="D93" s="114"/>
      <c r="E93" s="114"/>
      <c r="G93" s="115" t="s">
        <v>14</v>
      </c>
    </row>
    <row r="97" spans="1:7" ht="12.75">
      <c r="A97" s="121" t="s">
        <v>56</v>
      </c>
      <c r="B97" s="122"/>
      <c r="C97" s="122"/>
      <c r="D97" s="122"/>
      <c r="E97" s="123"/>
      <c r="G97" s="115" t="s">
        <v>14</v>
      </c>
    </row>
    <row r="98" spans="1:7" ht="12">
      <c r="A98" s="124"/>
      <c r="B98" s="125"/>
      <c r="C98" s="125"/>
      <c r="D98" s="125"/>
      <c r="E98" s="126"/>
      <c r="G98" s="115" t="s">
        <v>14</v>
      </c>
    </row>
    <row r="99" spans="1:7" ht="12">
      <c r="A99" s="127" t="s">
        <v>57</v>
      </c>
      <c r="B99" s="125"/>
      <c r="C99" s="125"/>
      <c r="D99" s="125" t="e">
        <f>+'Depuración mensual'!#REF!</f>
        <v>#REF!</v>
      </c>
      <c r="E99" s="126"/>
      <c r="G99" s="115" t="s">
        <v>14</v>
      </c>
    </row>
    <row r="100" spans="1:5" ht="12">
      <c r="A100" s="124"/>
      <c r="B100" s="125"/>
      <c r="C100" s="125"/>
      <c r="D100" s="125"/>
      <c r="E100" s="126"/>
    </row>
    <row r="101" spans="1:5" ht="12">
      <c r="A101" s="127" t="s">
        <v>58</v>
      </c>
      <c r="B101" s="125"/>
      <c r="C101" s="125"/>
      <c r="D101" s="125">
        <f>+D102</f>
        <v>0</v>
      </c>
      <c r="E101" s="128" t="s">
        <v>59</v>
      </c>
    </row>
    <row r="102" spans="1:5" ht="12">
      <c r="A102" s="127" t="s">
        <v>60</v>
      </c>
      <c r="B102" s="125"/>
      <c r="C102" s="125"/>
      <c r="D102" s="125">
        <f>+'Depuración mensual'!E50</f>
        <v>0</v>
      </c>
      <c r="E102" s="126"/>
    </row>
    <row r="103" spans="1:5" ht="12">
      <c r="A103" s="127" t="s">
        <v>61</v>
      </c>
      <c r="B103" s="125"/>
      <c r="C103" s="125"/>
      <c r="D103" s="125">
        <f>+'Depuración mensual'!E53</f>
        <v>0</v>
      </c>
      <c r="E103" s="126"/>
    </row>
    <row r="104" spans="1:5" ht="12">
      <c r="A104" s="124"/>
      <c r="B104" s="125"/>
      <c r="C104" s="125"/>
      <c r="D104" s="125"/>
      <c r="E104" s="126"/>
    </row>
    <row r="105" spans="1:5" ht="12.75">
      <c r="A105" s="129" t="s">
        <v>66</v>
      </c>
      <c r="B105" s="130"/>
      <c r="C105" s="130"/>
      <c r="D105" s="130" t="e">
        <f>+D99-D101-D102-D103</f>
        <v>#REF!</v>
      </c>
      <c r="E105" s="126"/>
    </row>
    <row r="106" spans="1:5" ht="12.75">
      <c r="A106" s="129"/>
      <c r="B106" s="125"/>
      <c r="C106" s="125"/>
      <c r="D106" s="130"/>
      <c r="E106" s="126"/>
    </row>
    <row r="107" spans="1:5" ht="12">
      <c r="A107" s="124"/>
      <c r="B107" s="125"/>
      <c r="C107" s="125"/>
      <c r="D107" s="125"/>
      <c r="E107" s="126"/>
    </row>
    <row r="108" spans="1:5" ht="12">
      <c r="A108" s="124"/>
      <c r="B108" s="125"/>
      <c r="C108" s="125"/>
      <c r="D108" s="125"/>
      <c r="E108" s="126"/>
    </row>
    <row r="109" spans="1:5" ht="12">
      <c r="A109" s="127" t="s">
        <v>38</v>
      </c>
      <c r="B109" s="125"/>
      <c r="C109" s="125"/>
      <c r="D109" s="125">
        <f>+C2</f>
        <v>42412</v>
      </c>
      <c r="E109" s="126"/>
    </row>
    <row r="110" spans="1:5" ht="12">
      <c r="A110" s="124"/>
      <c r="B110" s="125"/>
      <c r="C110" s="125"/>
      <c r="D110" s="125"/>
      <c r="E110" s="126"/>
    </row>
    <row r="111" spans="1:5" ht="12">
      <c r="A111" s="127" t="s">
        <v>62</v>
      </c>
      <c r="B111" s="125"/>
      <c r="C111" s="125"/>
      <c r="D111" s="125" t="e">
        <f>+D105/D109</f>
        <v>#REF!</v>
      </c>
      <c r="E111" s="126"/>
    </row>
    <row r="112" spans="1:5" ht="12">
      <c r="A112" s="124"/>
      <c r="B112" s="125"/>
      <c r="C112" s="125"/>
      <c r="D112" s="125"/>
      <c r="E112" s="126"/>
    </row>
    <row r="113" spans="1:5" ht="12">
      <c r="A113" s="127" t="s">
        <v>63</v>
      </c>
      <c r="B113" s="125"/>
      <c r="C113" s="125"/>
      <c r="D113" s="125" t="e">
        <f>SUM(G5:G90)</f>
        <v>#REF!</v>
      </c>
      <c r="E113" s="126"/>
    </row>
    <row r="114" spans="1:5" ht="12">
      <c r="A114" s="124"/>
      <c r="B114" s="125"/>
      <c r="C114" s="125"/>
      <c r="D114" s="125"/>
      <c r="E114" s="126"/>
    </row>
    <row r="115" spans="1:5" ht="12">
      <c r="A115" s="127" t="s">
        <v>64</v>
      </c>
      <c r="B115" s="125"/>
      <c r="C115" s="125"/>
      <c r="D115" s="125" t="e">
        <f>+D113*D109</f>
        <v>#REF!</v>
      </c>
      <c r="E115" s="126"/>
    </row>
    <row r="116" spans="1:5" ht="12">
      <c r="A116" s="131"/>
      <c r="B116" s="132"/>
      <c r="C116" s="132"/>
      <c r="D116" s="132"/>
      <c r="E116" s="133"/>
    </row>
  </sheetData>
  <sheetProtection password="CAE7" sheet="1" objects="1" scenarios="1"/>
  <mergeCells count="3">
    <mergeCell ref="A3:C3"/>
    <mergeCell ref="A4:B4"/>
    <mergeCell ref="D4: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DUSSAN SALAZAR</dc:creator>
  <cp:keywords/>
  <dc:description>APLICATIVO RENTA EN SALARIOS
Derechos reservados WILLIAM DUSSAN SALAZAR 2009</dc:description>
  <cp:lastModifiedBy>William Dussan</cp:lastModifiedBy>
  <cp:lastPrinted>2021-11-15T13:27:40Z</cp:lastPrinted>
  <dcterms:created xsi:type="dcterms:W3CDTF">2008-06-25T16:51:19Z</dcterms:created>
  <dcterms:modified xsi:type="dcterms:W3CDTF">2023-02-10T02:23:01Z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