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670" windowHeight="4620" tabRatio="916" activeTab="1"/>
  </bookViews>
  <sheets>
    <sheet name="Xbrl" sheetId="1" r:id="rId1"/>
    <sheet name="Balance 01012014" sheetId="2" r:id="rId2"/>
    <sheet name="Bal prueba 311214" sheetId="3" state="hidden" r:id="rId3"/>
    <sheet name="Ajustes" sheetId="4" r:id="rId4"/>
    <sheet name="Conciliaciones" sheetId="5" r:id="rId5"/>
    <sheet name="Efectivo" sheetId="6" r:id="rId6"/>
    <sheet name="Inversiones" sheetId="7" r:id="rId7"/>
    <sheet name="Deudores" sheetId="8" r:id="rId8"/>
    <sheet name="Inventarios" sheetId="9" r:id="rId9"/>
    <sheet name="PPYE" sheetId="10" r:id="rId10"/>
    <sheet name="Otros activos" sheetId="11" r:id="rId11"/>
    <sheet name="arrendamiento" sheetId="12" r:id="rId12"/>
    <sheet name="Pasivos" sheetId="13" r:id="rId13"/>
    <sheet name="Imp riqueza" sheetId="14" state="hidden" r:id="rId14"/>
    <sheet name="Laboral" sheetId="15" r:id="rId15"/>
    <sheet name="Imp diferidos" sheetId="16" r:id="rId16"/>
    <sheet name="Patrimonio" sheetId="17" r:id="rId17"/>
    <sheet name="Politicas" sheetId="18" state="hidden" r:id="rId18"/>
  </sheets>
  <externalReferences>
    <externalReference r:id="rId21"/>
  </externalReference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<sst xmlns="http://schemas.openxmlformats.org/spreadsheetml/2006/main" count="1497" uniqueCount="915">
  <si>
    <t xml:space="preserve"> </t>
  </si>
  <si>
    <t>Detalle cuenta</t>
  </si>
  <si>
    <t>Tasa</t>
  </si>
  <si>
    <t>EA</t>
  </si>
  <si>
    <t>Totales</t>
  </si>
  <si>
    <t>Subtotal Valorizaciones</t>
  </si>
  <si>
    <t>Cuentas por cobrar</t>
  </si>
  <si>
    <t xml:space="preserve">Anticipos </t>
  </si>
  <si>
    <t>Cartera Contable</t>
  </si>
  <si>
    <t>A</t>
  </si>
  <si>
    <t>C</t>
  </si>
  <si>
    <t>E</t>
  </si>
  <si>
    <t>% Castigo</t>
  </si>
  <si>
    <t>Deterioro</t>
  </si>
  <si>
    <t>Total Anticipos</t>
  </si>
  <si>
    <t>Total anticipo de impuestos</t>
  </si>
  <si>
    <t>Total Inventarios</t>
  </si>
  <si>
    <t>Muebles y enseres</t>
  </si>
  <si>
    <t>Equipo de computo</t>
  </si>
  <si>
    <t>Total PPYE</t>
  </si>
  <si>
    <t>N/A</t>
  </si>
  <si>
    <t xml:space="preserve">Inventarios </t>
  </si>
  <si>
    <t>Gastos pagados por anticipado</t>
  </si>
  <si>
    <t>Cargos Diferidos</t>
  </si>
  <si>
    <t>Reservas</t>
  </si>
  <si>
    <t>Intangibles</t>
  </si>
  <si>
    <t>Utilidad  del ejercicio</t>
  </si>
  <si>
    <t>Valorización</t>
  </si>
  <si>
    <t>Resultados de ejercicios anteriores</t>
  </si>
  <si>
    <t>Inversiones</t>
  </si>
  <si>
    <t>Propiedad, planta y equipo</t>
  </si>
  <si>
    <t>Cargos diferidos</t>
  </si>
  <si>
    <t>Pasivos</t>
  </si>
  <si>
    <t>Obligaciones financieras</t>
  </si>
  <si>
    <t>Cuentas por pagar</t>
  </si>
  <si>
    <t>Obligaciones laborales</t>
  </si>
  <si>
    <t>Patrimonio</t>
  </si>
  <si>
    <t xml:space="preserve">Ajustes </t>
  </si>
  <si>
    <t xml:space="preserve">Nota </t>
  </si>
  <si>
    <t>Detalle</t>
  </si>
  <si>
    <t>Provisión de inventarios</t>
  </si>
  <si>
    <t>Retención en la fuente</t>
  </si>
  <si>
    <t>Reclasificación</t>
  </si>
  <si>
    <t>PCGA Anteriores</t>
  </si>
  <si>
    <t>Importe</t>
  </si>
  <si>
    <t>Saldo cartera</t>
  </si>
  <si>
    <t>Industria y comercio por pagar</t>
  </si>
  <si>
    <t xml:space="preserve">Litigios y demandas </t>
  </si>
  <si>
    <t>Resumen de litigios y demandas</t>
  </si>
  <si>
    <t>Demandas laborales</t>
  </si>
  <si>
    <t>Demandas civiles ordinarias</t>
  </si>
  <si>
    <t>Total patrimonio</t>
  </si>
  <si>
    <t>Flujo de pagos estimados</t>
  </si>
  <si>
    <t>Año 1</t>
  </si>
  <si>
    <t>Año 2</t>
  </si>
  <si>
    <t>Año 3</t>
  </si>
  <si>
    <t>Año 4</t>
  </si>
  <si>
    <t>Año 5</t>
  </si>
  <si>
    <t>Vr Nominal</t>
  </si>
  <si>
    <t>Base fiscal</t>
  </si>
  <si>
    <t>Detalle de cuenta</t>
  </si>
  <si>
    <t>Diferencia Temporaria</t>
  </si>
  <si>
    <t>Empresa LVG</t>
  </si>
  <si>
    <t>Capital suscrito y pagado</t>
  </si>
  <si>
    <t>Saldo PCGA</t>
  </si>
  <si>
    <t>Desglose de las cuentas por cobrar PCGA</t>
  </si>
  <si>
    <t xml:space="preserve">Saldo PCGA </t>
  </si>
  <si>
    <t xml:space="preserve">Avances para gastos de viaje </t>
  </si>
  <si>
    <t>Saldo a favor IVA</t>
  </si>
  <si>
    <t>Total prestamos vinculados</t>
  </si>
  <si>
    <t>Saldos a favor impuestos</t>
  </si>
  <si>
    <t>Provisión</t>
  </si>
  <si>
    <t>Total deudores</t>
  </si>
  <si>
    <t>Flujo</t>
  </si>
  <si>
    <t>Intereses</t>
  </si>
  <si>
    <t>Saldo CXC</t>
  </si>
  <si>
    <t>VNR</t>
  </si>
  <si>
    <t>Valor costo PCGA</t>
  </si>
  <si>
    <t>Subtotal Inversiones</t>
  </si>
  <si>
    <t>Vr Bolsa BVC</t>
  </si>
  <si>
    <t>Valorización  PCGA</t>
  </si>
  <si>
    <t>Ajustes</t>
  </si>
  <si>
    <t>Vr Residual</t>
  </si>
  <si>
    <t>Gastos preoperativos</t>
  </si>
  <si>
    <t>Amortización</t>
  </si>
  <si>
    <t>Saldo</t>
  </si>
  <si>
    <t>Proveedores</t>
  </si>
  <si>
    <t>Nombre del empleado</t>
  </si>
  <si>
    <t>Vacaciones</t>
  </si>
  <si>
    <t>Ingreso</t>
  </si>
  <si>
    <t>PCGA</t>
  </si>
  <si>
    <t>Revalorización patrimonio</t>
  </si>
  <si>
    <t>Total activos</t>
  </si>
  <si>
    <t>Total pasivos</t>
  </si>
  <si>
    <t>Total pasivos y patrimonio</t>
  </si>
  <si>
    <t>Total</t>
  </si>
  <si>
    <t>Efectivo y equivalentes</t>
  </si>
  <si>
    <t>Estado de situación financiera</t>
  </si>
  <si>
    <t>Activos por impuestos corrientes</t>
  </si>
  <si>
    <t>Propiedades de inversión</t>
  </si>
  <si>
    <t>Origen</t>
  </si>
  <si>
    <t>Activo x impuestos diferidos</t>
  </si>
  <si>
    <t>Pasivos x impuestos diferidos</t>
  </si>
  <si>
    <t>Anticipos p/ compras de PPYE</t>
  </si>
  <si>
    <t>Nivel de riesgo</t>
  </si>
  <si>
    <t>Beneficios a los empleados</t>
  </si>
  <si>
    <t>Año 2013</t>
  </si>
  <si>
    <t>Año 2014</t>
  </si>
  <si>
    <t>Año 2015</t>
  </si>
  <si>
    <t>Año 2012</t>
  </si>
  <si>
    <t>Materia prima</t>
  </si>
  <si>
    <t>Productos terminados</t>
  </si>
  <si>
    <t xml:space="preserve">Publicidad </t>
  </si>
  <si>
    <t>Pasivos por provisiones</t>
  </si>
  <si>
    <t>Cesantías</t>
  </si>
  <si>
    <t>Int cesantías</t>
  </si>
  <si>
    <t>Leonardo</t>
  </si>
  <si>
    <t>Esther</t>
  </si>
  <si>
    <t>Camila</t>
  </si>
  <si>
    <t>Ángela</t>
  </si>
  <si>
    <t>Vr Intrínseco</t>
  </si>
  <si>
    <t>Superávit por Valorización de activos</t>
  </si>
  <si>
    <t>Fondo Común Ordinario Investment</t>
  </si>
  <si>
    <t>Valorización PCGA</t>
  </si>
  <si>
    <t>Pérdidas fiscales x compensar</t>
  </si>
  <si>
    <t>Exceso de presuntiva sobre renta líquida</t>
  </si>
  <si>
    <t>Activos biológicos</t>
  </si>
  <si>
    <t>Prestamos al Gerente</t>
  </si>
  <si>
    <t>Prestamos gerente - partes relacionadas</t>
  </si>
  <si>
    <t>Total Efectivo y equivalentes</t>
  </si>
  <si>
    <t>leovarong@yahoo.com</t>
  </si>
  <si>
    <t>Impuesto de renta por pagar</t>
  </si>
  <si>
    <t>Parafiscales por pagar</t>
  </si>
  <si>
    <t>Mejoras en propiedad ajena</t>
  </si>
  <si>
    <t>Pasivo por impuestos corrientes</t>
  </si>
  <si>
    <t>Saldo a favor CREE</t>
  </si>
  <si>
    <t>Subtotal Inversiones en fondos</t>
  </si>
  <si>
    <t>Interés</t>
  </si>
  <si>
    <t>Pólizas de seguros - Todo riesgo empresa</t>
  </si>
  <si>
    <t>Provisión- C x Cobrar (deterioro)</t>
  </si>
  <si>
    <t>Vencidos más de un año, pero menos de dos años</t>
  </si>
  <si>
    <t>Impuestos diferidos por renta y GO</t>
  </si>
  <si>
    <t>Impuestos diferidos por CREE</t>
  </si>
  <si>
    <t>Saldo Colgaap</t>
  </si>
  <si>
    <t>Valor inicial</t>
  </si>
  <si>
    <t>Saldo NIIF</t>
  </si>
  <si>
    <t>NIIF</t>
  </si>
  <si>
    <t>PUC</t>
  </si>
  <si>
    <t>Instrumentos de patrimonio</t>
  </si>
  <si>
    <t>VR - peritaje financiero</t>
  </si>
  <si>
    <t>Arrendamientos</t>
  </si>
  <si>
    <t>Aportes pensión</t>
  </si>
  <si>
    <t>Impuestos por pagar</t>
  </si>
  <si>
    <t>Año 0</t>
  </si>
  <si>
    <t>Costo</t>
  </si>
  <si>
    <t>Periodos pagos</t>
  </si>
  <si>
    <t>Corte</t>
  </si>
  <si>
    <t>Sueldo base esperado</t>
  </si>
  <si>
    <t>Pasivo</t>
  </si>
  <si>
    <t>Prestamos y partidas por cobrar (detalle)</t>
  </si>
  <si>
    <t>Cálculo de la provisión por el método individual</t>
  </si>
  <si>
    <t>Calculo del deterioro de cartera- NIIF</t>
  </si>
  <si>
    <t>Desglose de anticipos de impuestos o saldos a favor</t>
  </si>
  <si>
    <t>Desglose de prestamos vinculados</t>
  </si>
  <si>
    <t>Tabla de amortización préstamo gerente</t>
  </si>
  <si>
    <t>Nuevo Saldo NIIF</t>
  </si>
  <si>
    <t>Valor NIIF</t>
  </si>
  <si>
    <t>Efectos aplicación NIIF</t>
  </si>
  <si>
    <t>Cuenta cte. Banco Bogotá</t>
  </si>
  <si>
    <t>Cuenta cte. Bancolombia</t>
  </si>
  <si>
    <t>Ir al balance</t>
  </si>
  <si>
    <t>Ir a hoja de ajustes</t>
  </si>
  <si>
    <t>Consultas mail</t>
  </si>
  <si>
    <t>Deudores  y cuentas por cobrar</t>
  </si>
  <si>
    <t>Saldo norma local</t>
  </si>
  <si>
    <t>Errores contables</t>
  </si>
  <si>
    <t>Anexo - efectivo y equivalente al efectivo</t>
  </si>
  <si>
    <t>Anexo - deudores y cuentas por cobrar</t>
  </si>
  <si>
    <t>Anticipo para compra de bodega</t>
  </si>
  <si>
    <t>Anexo - inventarios</t>
  </si>
  <si>
    <t>Desglose de la materia prima</t>
  </si>
  <si>
    <t>Desglose de productos terminados</t>
  </si>
  <si>
    <t>Anexo - inversiones</t>
  </si>
  <si>
    <t>Entidad emisora</t>
  </si>
  <si>
    <t>Desglose de las inversiones en acciones y cuotas partes</t>
  </si>
  <si>
    <t>Desglose de valorizaciones de inversiones</t>
  </si>
  <si>
    <t>Total inversiones y valorizaciones</t>
  </si>
  <si>
    <t>Ajustes sugeridos NIIF</t>
  </si>
  <si>
    <t>Base fiscal de las acciones y cuotas partes</t>
  </si>
  <si>
    <t xml:space="preserve">Desglose por inversiones en fondos </t>
  </si>
  <si>
    <t>Anexo - Propiedad, planta y equipo</t>
  </si>
  <si>
    <t xml:space="preserve">Depreciación Acumulada PCGA </t>
  </si>
  <si>
    <t xml:space="preserve">Vr Neto PCGA </t>
  </si>
  <si>
    <t xml:space="preserve">Desglose de bases fiscales de PPYE </t>
  </si>
  <si>
    <t>Renta Líquida por Recuperación de Deducciones</t>
  </si>
  <si>
    <t>Ganancia Ocasional</t>
  </si>
  <si>
    <t>Anexo - Gastos pagados por anticipado, Cargos diferidos e Intangibles</t>
  </si>
  <si>
    <t>Desglose de gastos pagados por anticipado</t>
  </si>
  <si>
    <t>Desglose de cargos diferidos</t>
  </si>
  <si>
    <t>Anexo - Pasivos</t>
  </si>
  <si>
    <t>Desglose de obligaciones financieras</t>
  </si>
  <si>
    <t>Tabla de amortización remedida por costos por préstamos</t>
  </si>
  <si>
    <t>Periodo</t>
  </si>
  <si>
    <t>Tabla de amortización entidad financiera</t>
  </si>
  <si>
    <t>Amortización costos por préstamos</t>
  </si>
  <si>
    <t>Cuota préstamo</t>
  </si>
  <si>
    <t xml:space="preserve">Tasa </t>
  </si>
  <si>
    <t xml:space="preserve">Desglose de provisiones </t>
  </si>
  <si>
    <t>Desglose de pasivos estimados y provisiones</t>
  </si>
  <si>
    <t>Desglose de cuentas por pagar e impuestos por pagar</t>
  </si>
  <si>
    <t>Volver a pasivos</t>
  </si>
  <si>
    <t>Desglose de obligaciones laborales</t>
  </si>
  <si>
    <t>Anexo - obligaciones laborales (prestaciones sociales)</t>
  </si>
  <si>
    <t>Cálculo bajo normativa colombiana (PCGA)- obligaciones laborales</t>
  </si>
  <si>
    <t>Cálculo bajo NIIF- obligaciones laborales</t>
  </si>
  <si>
    <t>Anexo - Impuestos diferidos</t>
  </si>
  <si>
    <t>Anexo - Patrimonio</t>
  </si>
  <si>
    <t>Ir a Conciliación del patrimonio</t>
  </si>
  <si>
    <t>Días</t>
  </si>
  <si>
    <t>Días a pagar</t>
  </si>
  <si>
    <t>Valor día</t>
  </si>
  <si>
    <t>Cuentas por pagar, proveedores e imp. pagar</t>
  </si>
  <si>
    <t>Subtotal Inversiones (incluye valorizaciones)</t>
  </si>
  <si>
    <t>Pasivos estimados y provisiones</t>
  </si>
  <si>
    <t>Efectivo y equivalentes al efectivo (disponible)</t>
  </si>
  <si>
    <t>Condiciones de pago</t>
  </si>
  <si>
    <t>Inversiones en subsidiarias, NC y asociadas</t>
  </si>
  <si>
    <t>Vencidos más de dos años, pero menos de tres años</t>
  </si>
  <si>
    <t>reestructuración a cinco años a partir del 2014.</t>
  </si>
  <si>
    <t>Año 2016</t>
  </si>
  <si>
    <t>Cuota anual</t>
  </si>
  <si>
    <t xml:space="preserve">PCGA  </t>
  </si>
  <si>
    <t xml:space="preserve">PCGA </t>
  </si>
  <si>
    <t>Medición NIIF</t>
  </si>
  <si>
    <t>ajuste x inflación</t>
  </si>
  <si>
    <t>Terreno 2- Arrendado a terceras personas</t>
  </si>
  <si>
    <t>Edificación - Administrativas.</t>
  </si>
  <si>
    <t>Software contabilidad</t>
  </si>
  <si>
    <t>Porción del pasivo de la empresa</t>
  </si>
  <si>
    <t>PCGA  (incluye ajustes por inflación)</t>
  </si>
  <si>
    <t>Valor razonable a dic. 31 2014</t>
  </si>
  <si>
    <t>Prueba</t>
  </si>
  <si>
    <t>Otros activos financieros</t>
  </si>
  <si>
    <t>www.consultorcontable.com</t>
  </si>
  <si>
    <t>parcial</t>
  </si>
  <si>
    <t>Cuota</t>
  </si>
  <si>
    <t>Ajuste por inflación</t>
  </si>
  <si>
    <t>Fecha de compra</t>
  </si>
  <si>
    <t>Vida útil Remanente</t>
  </si>
  <si>
    <t>50 años</t>
  </si>
  <si>
    <t>6 años</t>
  </si>
  <si>
    <t>5 años</t>
  </si>
  <si>
    <t>Ene del 2010</t>
  </si>
  <si>
    <t>Ene de 2009</t>
  </si>
  <si>
    <t>Ene de 2000</t>
  </si>
  <si>
    <t>Desglose de intangibles</t>
  </si>
  <si>
    <t>Marcas formadas</t>
  </si>
  <si>
    <t>Mantenimiento de equipos</t>
  </si>
  <si>
    <t>Clic para ver el calculo del impuesto al patrimonio</t>
  </si>
  <si>
    <t>Clic para ver el calculo de los pasivos laborales</t>
  </si>
  <si>
    <t>Cheques pendientes de cobro</t>
  </si>
  <si>
    <t>Entregados pero no cobrados</t>
  </si>
  <si>
    <t>Consignaciones pendientes x registrar</t>
  </si>
  <si>
    <t>Consignación cliente no identificado</t>
  </si>
  <si>
    <t>Consignación error bancario o por desconocimiento de la intención</t>
  </si>
  <si>
    <t>Gastos x BE</t>
  </si>
  <si>
    <t>Cliente con problemas financieros, embargo 50% deuda, en un año</t>
  </si>
  <si>
    <t>Importe en libros (NIIF)</t>
  </si>
  <si>
    <t>Si es imponible, ponemos menos</t>
  </si>
  <si>
    <t>Si es deducible colocamos más</t>
  </si>
  <si>
    <t>Renta</t>
  </si>
  <si>
    <t>CREE</t>
  </si>
  <si>
    <t>?????????,</t>
  </si>
  <si>
    <t>Construcciones Lvg SAS (100%)</t>
  </si>
  <si>
    <t>11 años</t>
  </si>
  <si>
    <t>Otros activos no financieros</t>
  </si>
  <si>
    <t>Posfechados</t>
  </si>
  <si>
    <t>No entregados o entregados tarde</t>
  </si>
  <si>
    <t>Al día, sin indicador objetivo de deterioro</t>
  </si>
  <si>
    <t>Ingresos financieros</t>
  </si>
  <si>
    <t>Efecto resultados</t>
  </si>
  <si>
    <t>90 días</t>
  </si>
  <si>
    <t>120 días</t>
  </si>
  <si>
    <t>150 días</t>
  </si>
  <si>
    <t>Software de ingeniería</t>
  </si>
  <si>
    <t>Variación del patrimonio</t>
  </si>
  <si>
    <t>Pasivos por impuestos corrientes</t>
  </si>
  <si>
    <t>Pasivos por impuestos diferidos</t>
  </si>
  <si>
    <t>Cuentas por cobrar clientes</t>
  </si>
  <si>
    <t>Dep acum</t>
  </si>
  <si>
    <t>12 años</t>
  </si>
  <si>
    <t>21 años</t>
  </si>
  <si>
    <t>Suscripciones a entidades - periodicos, revistas</t>
  </si>
  <si>
    <t>Caso 1</t>
  </si>
  <si>
    <t>La entidad ha suscrito un contrato con ETB, para el suministro de</t>
  </si>
  <si>
    <t>cincuenta computadores, por una mensualidad de arrendamiento</t>
  </si>
  <si>
    <t>de $12.5 millones mensuales más IVA.</t>
  </si>
  <si>
    <t>El plazo del contrato es por tres años, al final del contrato la entidad</t>
  </si>
  <si>
    <t>debe devolver los computadores a ETB</t>
  </si>
  <si>
    <t>El valor razonable de los equipos al inicio del contrato es de $380 millones</t>
  </si>
  <si>
    <t>La entidad vende productos gravados y puede descontarse el IVA, por el canón</t>
  </si>
  <si>
    <t>Fecha inicio del contrato</t>
  </si>
  <si>
    <t>enero 1 de 2013</t>
  </si>
  <si>
    <t>TIR</t>
  </si>
  <si>
    <t>Interes</t>
  </si>
  <si>
    <t>Remedición del activo- equipo de computo</t>
  </si>
  <si>
    <t>Depreciación acumulada</t>
  </si>
  <si>
    <t>Ene de 2013</t>
  </si>
  <si>
    <t>a Dic de 2014</t>
  </si>
  <si>
    <t>Vida útil - 36 meses</t>
  </si>
  <si>
    <t>Valor neto de PPYE a reconocer</t>
  </si>
  <si>
    <t>VNA</t>
  </si>
  <si>
    <t>Beneficios a corto plazo</t>
  </si>
  <si>
    <t>Beneficios a largo plazo</t>
  </si>
  <si>
    <t>Beneficios postempleo</t>
  </si>
  <si>
    <t>Beneficios por terminación</t>
  </si>
  <si>
    <t>Plazo de pago, es menor a 1 año- valor a pagar, sin descontar</t>
  </si>
  <si>
    <t>Plazo de pago, es mayor a 1 año- valor a pagar, a valor presente</t>
  </si>
  <si>
    <t>Calculo actuarial - VNA</t>
  </si>
  <si>
    <t>Cuando la empresa tiene obligación incondicional a pagarlos</t>
  </si>
  <si>
    <t>Cada cinco años 1 salario, cada diez años 1.5 salarios, cada quince años 2 salarios</t>
  </si>
  <si>
    <t>Cuentas x pagar comerciales y otras cuentas x pagar</t>
  </si>
  <si>
    <t>Carteras colectivas</t>
  </si>
  <si>
    <t>Aportes salud y ARL</t>
  </si>
  <si>
    <t>Desglose de anticipos y otros</t>
  </si>
  <si>
    <t>Cliente con problemas financieros, refinanciación por acuerdo de</t>
  </si>
  <si>
    <t>0 años</t>
  </si>
  <si>
    <t>Azúcar</t>
  </si>
  <si>
    <t>Agua tratada</t>
  </si>
  <si>
    <t>Gas carbónico</t>
  </si>
  <si>
    <t>Valor de mercado</t>
  </si>
  <si>
    <t>Cantidad</t>
  </si>
  <si>
    <t>Costo unitario</t>
  </si>
  <si>
    <t>Precio de venta</t>
  </si>
  <si>
    <t>Comisión ventas</t>
  </si>
  <si>
    <t>PPYE</t>
  </si>
  <si>
    <t>Propiedad de inversión</t>
  </si>
  <si>
    <t>Plusvalia</t>
  </si>
  <si>
    <t>Crédito mercantil</t>
  </si>
  <si>
    <t>16 - 17 software</t>
  </si>
  <si>
    <t>Inversiones en ecopetrol- inv en titulos de deuda (CDT)</t>
  </si>
  <si>
    <t>TIDIS - REPOS</t>
  </si>
  <si>
    <t xml:space="preserve">Obra de arte- </t>
  </si>
  <si>
    <t>Inversiones en asociadas</t>
  </si>
  <si>
    <t>Influencia significativa</t>
  </si>
  <si>
    <t>Control conjunto</t>
  </si>
  <si>
    <t>Inversiones en negocios conjuntos</t>
  </si>
  <si>
    <t>Vacas, cultivo de tamarindo</t>
  </si>
  <si>
    <t>Animal vivo o planta</t>
  </si>
  <si>
    <t>Se use en el sector agropecuario</t>
  </si>
  <si>
    <t>Gestión de cambio</t>
  </si>
  <si>
    <t>Inventarios</t>
  </si>
  <si>
    <t xml:space="preserve">Saldos a favor por CREE, sobretasa del CREE y renta </t>
  </si>
  <si>
    <t>Saldos a favor por impuestos a las ganancias</t>
  </si>
  <si>
    <t>Activos por impuestos diferidos</t>
  </si>
  <si>
    <t>Diferencias temporarias deducibles</t>
  </si>
  <si>
    <t>Efecto fiscal de las pérdidas fiscas</t>
  </si>
  <si>
    <t>Efecto fiscal de los excesos de Rp sobre RL</t>
  </si>
  <si>
    <t>Excesos fiscales de la renta minima CREE sobre RG- Ley 1739 de 2014</t>
  </si>
  <si>
    <t>Cuentas comerciales x cobrar y otra cuenta x cobrar</t>
  </si>
  <si>
    <t>Clientes</t>
  </si>
  <si>
    <t>Partes relacionadas</t>
  </si>
  <si>
    <t>Anticipos - otro activo no financiero</t>
  </si>
  <si>
    <t>Gastos pagados por anticipado- ????</t>
  </si>
  <si>
    <t xml:space="preserve">Saldos a favor por ICA, IVA, </t>
  </si>
  <si>
    <t>Préstamos al contador de la empresa</t>
  </si>
  <si>
    <t>Otros deudores</t>
  </si>
  <si>
    <t>Efectivo y equivalente al efectivo</t>
  </si>
  <si>
    <t>Cajita, cajita menor</t>
  </si>
  <si>
    <t xml:space="preserve">Bancos </t>
  </si>
  <si>
    <t>CDT menores a tres meses</t>
  </si>
  <si>
    <t>Cuentas comerciales por pagar y otras cuentas x pagar</t>
  </si>
  <si>
    <t>Cuentas x pagar</t>
  </si>
  <si>
    <t>Impuestos IVA- Riqueza- INC- ICA-No ganancias</t>
  </si>
  <si>
    <t>Obigaciones laborales</t>
  </si>
  <si>
    <t>Pasivos estimados x gastos</t>
  </si>
  <si>
    <t>retenciones</t>
  </si>
  <si>
    <t>pasivos estimados laborales</t>
  </si>
  <si>
    <t>pasivos estimados por ICA</t>
  </si>
  <si>
    <t>Provisiones</t>
  </si>
  <si>
    <t>Laborales - pensionados a cargo de la entidad</t>
  </si>
  <si>
    <t>No se sabe a quien</t>
  </si>
  <si>
    <t>No se sabe cuando</t>
  </si>
  <si>
    <t>Incretidumbre cuantia</t>
  </si>
  <si>
    <t>Garantias - EC- industrial - constructora</t>
  </si>
  <si>
    <t>Provisión por devolucion de perecederos</t>
  </si>
  <si>
    <t>Reestructuración</t>
  </si>
  <si>
    <t>Legales- sanciones</t>
  </si>
  <si>
    <t>Retiro de activo, desmantelamiento, rehabilitación</t>
  </si>
  <si>
    <t>Otros pasivos financieros</t>
  </si>
  <si>
    <t>Obligaciones con entidades bancarias</t>
  </si>
  <si>
    <t>Préstamo de particulares</t>
  </si>
  <si>
    <t>Otros pasivos no financieros</t>
  </si>
  <si>
    <t>Anticipos de clientes</t>
  </si>
  <si>
    <t>Ingresos diferidos</t>
  </si>
  <si>
    <t>Saldos a pagar por</t>
  </si>
  <si>
    <t>Sobretasa CREE</t>
  </si>
  <si>
    <t>GO</t>
  </si>
  <si>
    <t>Diferencias temporarias imponibles</t>
  </si>
  <si>
    <t>Capital emitido</t>
  </si>
  <si>
    <t>CSP- capital social</t>
  </si>
  <si>
    <t>Ganancias acumuladas</t>
  </si>
  <si>
    <t>Utilidades del periodos</t>
  </si>
  <si>
    <t>Utilidads de periodos anteriores</t>
  </si>
  <si>
    <t>Reservas acumuladas</t>
  </si>
  <si>
    <t>Prima de emisión</t>
  </si>
  <si>
    <t>prima en colocación de acciones</t>
  </si>
  <si>
    <t>Acciones propias en cartera</t>
  </si>
  <si>
    <t>acciones propias readquiridas</t>
  </si>
  <si>
    <t>Otras participaciones en el patrimonio</t>
  </si>
  <si>
    <t>Parte del patrimonio de instrumentos financieros</t>
  </si>
  <si>
    <t>compuestos - porcion pasivo- porcion patrimonio</t>
  </si>
  <si>
    <t>Debenture</t>
  </si>
  <si>
    <t>Otras reservas</t>
  </si>
  <si>
    <t>Otro resultado integral</t>
  </si>
  <si>
    <t>Part ORI asociadas</t>
  </si>
  <si>
    <t>GYP actuariales</t>
  </si>
  <si>
    <t xml:space="preserve">GYP variación del VR de CFE </t>
  </si>
  <si>
    <t>DC por conversión de EF</t>
  </si>
  <si>
    <t>Participaciones no controladoras</t>
  </si>
  <si>
    <t>participacion minoritaria</t>
  </si>
  <si>
    <t>Ingresos de actividades ordinarias</t>
  </si>
  <si>
    <t>Ventas de bienes</t>
  </si>
  <si>
    <t>servicios</t>
  </si>
  <si>
    <t>regalias- exp intangibles</t>
  </si>
  <si>
    <t>dividndos</t>
  </si>
  <si>
    <t>Costos de ventas</t>
  </si>
  <si>
    <t>Otros ingresos</t>
  </si>
  <si>
    <t>Inversiones en subsidiarias</t>
  </si>
  <si>
    <t>30 días</t>
  </si>
  <si>
    <t>Fecha</t>
  </si>
  <si>
    <t>Vida útil</t>
  </si>
  <si>
    <t>Valor del avaluo 2012</t>
  </si>
  <si>
    <t>Linea recta</t>
  </si>
  <si>
    <t>(Importe en libros - valor residual)</t>
  </si>
  <si>
    <t>Valor razonable</t>
  </si>
  <si>
    <t>Base del impuesto</t>
  </si>
  <si>
    <t>Año 2017</t>
  </si>
  <si>
    <t>Impuesto</t>
  </si>
  <si>
    <t>Hecho generador</t>
  </si>
  <si>
    <t>Posesión de riqueza en enero 1 de 2015</t>
  </si>
  <si>
    <t>Baje</t>
  </si>
  <si>
    <t>Suba</t>
  </si>
  <si>
    <t>Tasa anual</t>
  </si>
  <si>
    <t>Tasa mensual</t>
  </si>
  <si>
    <t>Gasto x IR</t>
  </si>
  <si>
    <t>Cuentas</t>
  </si>
  <si>
    <t>Activos financieros</t>
  </si>
  <si>
    <t>Activos no financieros</t>
  </si>
  <si>
    <t>Sección 11</t>
  </si>
  <si>
    <t>Efectivo y equivalentes al efectivo</t>
  </si>
  <si>
    <t>Bancos, caja, caja menor, fiducia de tesoreria, cartera colectiva a la vista</t>
  </si>
  <si>
    <t>Control</t>
  </si>
  <si>
    <t>Socio A</t>
  </si>
  <si>
    <t>Socio B</t>
  </si>
  <si>
    <t>Gerente</t>
  </si>
  <si>
    <t>Cuentas comerciales por cobrar y otras cuentas por cobrar</t>
  </si>
  <si>
    <t>CXC clientes, anticipo a proveedores, GPA, saldos a favor IVA, anticipo de ICA, CXC partes relacionadas. CXC a trabajadores.</t>
  </si>
  <si>
    <t>saldos a favor o anticipos por imp a las ganancias (renta, CREE, GO)</t>
  </si>
  <si>
    <t>Animales vivos y plantas - agropecuario</t>
  </si>
  <si>
    <t>Pasivos financieros</t>
  </si>
  <si>
    <t>Pasivos no financieros</t>
  </si>
  <si>
    <t>Cuentas x pagar comerciales y otras cuentas por pagar</t>
  </si>
  <si>
    <t>Proveeedores, CXP, impuestos dif a los de ganancias x pagar (IVA, ICA, Riqueza, Predial), cxp empleados, pasivos estimados (causados, devengados)</t>
  </si>
  <si>
    <t>Obligaciones con bancos, con terceros, préstamos</t>
  </si>
  <si>
    <t>Renta, CREE, GO</t>
  </si>
  <si>
    <t>Diferencia temporaria imponible</t>
  </si>
  <si>
    <t>Ingresos recibidos por anticipado, anticipos recibidos, depositos en garantia</t>
  </si>
  <si>
    <t>Aportes de los asociados clasficados como pasivos</t>
  </si>
  <si>
    <t>Capital social</t>
  </si>
  <si>
    <t>Prima de emisión, colocación de acciones o CP</t>
  </si>
  <si>
    <t>Acciones propias readquiridas</t>
  </si>
  <si>
    <t>Resultados acumulados</t>
  </si>
  <si>
    <t>UEA, UE, reservas</t>
  </si>
  <si>
    <t>ORI</t>
  </si>
  <si>
    <t>otras paerticipaciones en el patrimonio</t>
  </si>
  <si>
    <t>Estado de resultado integral</t>
  </si>
  <si>
    <t>Ingresos odinarios</t>
  </si>
  <si>
    <t>Costo de ventas</t>
  </si>
  <si>
    <t>Utilidad bruta</t>
  </si>
  <si>
    <t>Otros gastos</t>
  </si>
  <si>
    <t>Gastos de distribución</t>
  </si>
  <si>
    <t>Gastos admon</t>
  </si>
  <si>
    <t>Utilidad operacional</t>
  </si>
  <si>
    <t>Otras ganancias y otras pérdidas</t>
  </si>
  <si>
    <t>Resultado por diferencia en cambio</t>
  </si>
  <si>
    <t>Resultado por venta de activos no corrientes</t>
  </si>
  <si>
    <t>Resultado por variación del VR de propiedades de inversión</t>
  </si>
  <si>
    <t>Resultado por variación del VR de activos financieros</t>
  </si>
  <si>
    <t>Utilidad antes de impuestos</t>
  </si>
  <si>
    <t>Gastos financieros</t>
  </si>
  <si>
    <t>Resultado del periodo</t>
  </si>
  <si>
    <t>Resultado por impuestos a las ganancias</t>
  </si>
  <si>
    <t>Resultado de las operaciones que continuan</t>
  </si>
  <si>
    <t>Resultado neto</t>
  </si>
  <si>
    <t>Resultado de las operaciones discontinuas</t>
  </si>
  <si>
    <t>Resultado del ejercicio</t>
  </si>
  <si>
    <t>Zapateria</t>
  </si>
  <si>
    <t>Venta de abarrotes</t>
  </si>
  <si>
    <t>Servicios de construcción</t>
  </si>
  <si>
    <t>Resultado por DC por conversión de EF</t>
  </si>
  <si>
    <t>xxxxxxxx</t>
  </si>
  <si>
    <t>Ganancias y pérdida actuariales por PBE</t>
  </si>
  <si>
    <t>G y P por contratos de cobertura de flujos de efectivo</t>
  </si>
  <si>
    <t>Efecto fiscal por diferencias temporarias</t>
  </si>
  <si>
    <t>Participación en el ORI de asociadas contabilizadas por el MP</t>
  </si>
  <si>
    <t>Resultado integral total</t>
  </si>
  <si>
    <t>Diagnostico</t>
  </si>
  <si>
    <t>Politica contables</t>
  </si>
  <si>
    <t>Plan de cuentas</t>
  </si>
  <si>
    <t>ESFA</t>
  </si>
  <si>
    <t>Monte saldos en el sistema</t>
  </si>
  <si>
    <t>Costo historico</t>
  </si>
  <si>
    <t>Diferencia en cambio</t>
  </si>
  <si>
    <t>Pasivo financiero</t>
  </si>
  <si>
    <t>Reclasificar a pasivos por impuestos corrientes</t>
  </si>
  <si>
    <t>Suceso que da origen a la obligación</t>
  </si>
  <si>
    <t>politicas</t>
  </si>
  <si>
    <t>Trazadas en las NIIF</t>
  </si>
  <si>
    <t>Medición inicial</t>
  </si>
  <si>
    <t>Medición posterior</t>
  </si>
  <si>
    <t>resumen politicas</t>
  </si>
  <si>
    <t>reresumen de politicas</t>
  </si>
  <si>
    <t>Supersociedades</t>
  </si>
  <si>
    <t>Documento marco para la elaboración de información financiera</t>
  </si>
  <si>
    <t>Notas a los estados financieros</t>
  </si>
  <si>
    <t>No existe exención sobre este tema, los saldos fueron tomados de los valores disponibles por parte de la entidad.</t>
  </si>
  <si>
    <t>Se miden por su costo, el cual corresponde a los valores depositados en entidades financieras, los mantenidos en caja y lo depositado a través de carteras colectivas.</t>
  </si>
  <si>
    <t>Por el costo, el cual corresponde con los valores depositados en entidades financieras, careras colectivas, fondos fiduciarios y los mantenidos en caja</t>
  </si>
  <si>
    <t>No existe exención sobre este tema, los activos financieros se mediran como si siempre se hubiese aplicado la NIIF para PYMES.</t>
  </si>
  <si>
    <t>Los activos financieros cuyo valor razonable pueda ser medido de forma fiable se mediran al valor razonable, los demás se mediran por su costo o por el costo amortizado, incluyendo los costos de la transacción.</t>
  </si>
  <si>
    <t>Los instrumentos de patrimonio con valor razonable fiable se mediran por su valor razonable con cargo a resultados; los demas por su costo menos el deterioro de valor, sí existe indicador de deterioro.</t>
  </si>
  <si>
    <t>La entidad reconoció todas las diferencias temporarias deducibles, sobre la cuales existe una probabilidad de ser recuperadas para efectos fiscales, en un futuro.</t>
  </si>
  <si>
    <t>El importe en libros neto de los activos por impuestos diferidos se revisa en cada fecha
sobre la que se informa y se ajusta para reflejar la evaluación actual de las ganancias fiscales futuras. Cualquier ajuste se reconoce en el resultado del periodo.</t>
  </si>
  <si>
    <t>propiedad, planta y equipo</t>
  </si>
  <si>
    <t>Para terrenos y edificios la entidad tomó el avalúo realizado en 2012 como su costo atribuido a esa fecha, para los demás no se tomó exención.</t>
  </si>
  <si>
    <t>la PPYE se mediran por su costo menos la depreciación acumulada y menos cualquier pérdida por deterioro.</t>
  </si>
  <si>
    <t>la PPYE se mediran por su costo. El costo incluye los costos necesarios para que el elemento de PPYE funcionen en las condiciones requeridas por la gerencia.</t>
  </si>
  <si>
    <t>Grupo Aval- preferencial (0.0094%)</t>
  </si>
  <si>
    <t>Pacific Energy (0.000000022%)</t>
  </si>
  <si>
    <t>Remesas en transito ME</t>
  </si>
  <si>
    <t>1205xx</t>
  </si>
  <si>
    <t>Almacen Jexito SA</t>
  </si>
  <si>
    <t>Jeulet Pakard SA</t>
  </si>
  <si>
    <t>Grupo Nulle SA</t>
  </si>
  <si>
    <t>Inversiones DMG SA</t>
  </si>
  <si>
    <t>Provisión bajo norma fiscal</t>
  </si>
  <si>
    <t>El préstamo se realizó en enero de 2012, no se cobran intereses y este valor será devuelto por cuotas hasta el periodo 2016</t>
  </si>
  <si>
    <t>Bebida 350 cc</t>
  </si>
  <si>
    <t>Bebida no retornable</t>
  </si>
  <si>
    <t>Bebida 1 Lt</t>
  </si>
  <si>
    <t>Bebida 2 Lt</t>
  </si>
  <si>
    <t>Bebida 3 Lt</t>
  </si>
  <si>
    <t>Bebida 250 cc</t>
  </si>
  <si>
    <t>Semovientes</t>
  </si>
  <si>
    <t xml:space="preserve">Terneros </t>
  </si>
  <si>
    <t xml:space="preserve">6 - 12 meses </t>
  </si>
  <si>
    <t xml:space="preserve">Toretes </t>
  </si>
  <si>
    <t xml:space="preserve">12 - 24 meses </t>
  </si>
  <si>
    <t xml:space="preserve">Toros reproductores </t>
  </si>
  <si>
    <t xml:space="preserve">2 años en adelante </t>
  </si>
  <si>
    <t xml:space="preserve">Machos levante </t>
  </si>
  <si>
    <t xml:space="preserve">8 - 12 meses </t>
  </si>
  <si>
    <t>Categoria</t>
  </si>
  <si>
    <t>Edad</t>
  </si>
  <si>
    <t>Vehículo administrativo</t>
  </si>
  <si>
    <t>Tractomula arrendada a empresa de transportes</t>
  </si>
  <si>
    <t xml:space="preserve">Terreno 1- Oficinas administrativas </t>
  </si>
  <si>
    <t>Terreno, explotado como parqueadero</t>
  </si>
  <si>
    <t xml:space="preserve">Maquina </t>
  </si>
  <si>
    <t>Remodelaciones</t>
  </si>
  <si>
    <t>Utiles y papeleria</t>
  </si>
  <si>
    <t>Entrenamiento de personal</t>
  </si>
  <si>
    <t>Participación feria de exposiciones miami</t>
  </si>
  <si>
    <t>Moldes para producción</t>
  </si>
  <si>
    <t>Impuesto de renta diferido</t>
  </si>
  <si>
    <t xml:space="preserve">Fiscalmente es </t>
  </si>
  <si>
    <t xml:space="preserve">Legalmente es </t>
  </si>
  <si>
    <t>NIIF PYMES es</t>
  </si>
  <si>
    <t>Garantias</t>
  </si>
  <si>
    <t>Salario Promedio 2014</t>
  </si>
  <si>
    <t>Bonificación por tiempo laborado</t>
  </si>
  <si>
    <t xml:space="preserve">Conformado por </t>
  </si>
  <si>
    <t>Acciones ordinarias</t>
  </si>
  <si>
    <t>Acciones preferenciales</t>
  </si>
  <si>
    <t>Dividendo obligatorio de $30 por acción preferencial de forma anual</t>
  </si>
  <si>
    <t>Abierto y a la vista</t>
  </si>
  <si>
    <t>Los recursos estan disponibles en 12 horas</t>
  </si>
  <si>
    <t>Anticipos entregados a los vendedores en diciembre 28, para viajes en el año 2015</t>
  </si>
  <si>
    <t>Registro contable al momento del préstamo</t>
  </si>
  <si>
    <t>Reclasificar a activos biológicos</t>
  </si>
  <si>
    <t>operativo</t>
  </si>
  <si>
    <t>financiero</t>
  </si>
  <si>
    <t>Activos</t>
  </si>
  <si>
    <t>Endeudamiento</t>
  </si>
  <si>
    <t>365 dt</t>
  </si>
  <si>
    <t>18 vacas</t>
  </si>
  <si>
    <t>900 dt</t>
  </si>
  <si>
    <t>x</t>
  </si>
  <si>
    <t>Ejemplo 10 cartilla modulo 28</t>
  </si>
  <si>
    <t>Bono cinco años</t>
  </si>
  <si>
    <t>Bono diez años</t>
  </si>
  <si>
    <t>Bono quince años</t>
  </si>
  <si>
    <t>Probabilidad</t>
  </si>
  <si>
    <t>Cumplimiento</t>
  </si>
  <si>
    <t>Salario base</t>
  </si>
  <si>
    <t>Años</t>
  </si>
  <si>
    <t>Valor obligación</t>
  </si>
  <si>
    <t>XXXXX</t>
  </si>
  <si>
    <t>Valor pasivo</t>
  </si>
  <si>
    <t xml:space="preserve">Total pasivo por bonos </t>
  </si>
  <si>
    <t>Papeleria y utiles</t>
  </si>
  <si>
    <t>Importes en libros (ILA-ILP)</t>
  </si>
  <si>
    <t>Base fiscal (BFA-BFP)</t>
  </si>
  <si>
    <t>Clasificación diferencia temporaria</t>
  </si>
  <si>
    <t>Leasing operativos - Contrato Arrendamiento Financiero</t>
  </si>
  <si>
    <t xml:space="preserve">Anexo - Registros contables para la adopción de las NIIF </t>
  </si>
  <si>
    <t>Anexo - Conciliación del patrimonio a 1 de enero de 2014 (Fecha de transición  a las NIIF)</t>
  </si>
  <si>
    <t>A Dic. 31 de 2013</t>
  </si>
  <si>
    <t>Patrimonio inicial a Dic. 31 de 2013</t>
  </si>
  <si>
    <t>Patrimonio inicial a Ene 1 de 2014</t>
  </si>
  <si>
    <t>Plateria y cubierteria</t>
  </si>
  <si>
    <t>NIIF 9</t>
  </si>
  <si>
    <t>VR</t>
  </si>
  <si>
    <t>Valor razonable - PYG</t>
  </si>
  <si>
    <t>Valor razonable - ORI</t>
  </si>
  <si>
    <t>Método de participacion</t>
  </si>
  <si>
    <t>Valor libros</t>
  </si>
  <si>
    <t>Xbrl</t>
  </si>
  <si>
    <t>Taxonomia Xbrl</t>
  </si>
  <si>
    <t>Débito</t>
  </si>
  <si>
    <t>Crédito</t>
  </si>
  <si>
    <t>Otras reservas - variación del VR de instrumentos de patrimonio</t>
  </si>
  <si>
    <t>VVVA</t>
  </si>
  <si>
    <t>Dos PC</t>
  </si>
  <si>
    <t xml:space="preserve">La entidad a diciembre 31 de 2013, habia tomado un swap con una entidad financiera para cubrirse </t>
  </si>
  <si>
    <t>de la tasa de interes relacionada con el pasivo financiero de la entidad.</t>
  </si>
  <si>
    <t>Costo de emisión del Swap</t>
  </si>
  <si>
    <t xml:space="preserve">Gratis </t>
  </si>
  <si>
    <t xml:space="preserve">Valor razonable </t>
  </si>
  <si>
    <t>Activo</t>
  </si>
  <si>
    <t>Neto</t>
  </si>
  <si>
    <t>Derivados financieros</t>
  </si>
  <si>
    <t>Prestamo de una entidad financiera</t>
  </si>
  <si>
    <t>Costos de transacción</t>
  </si>
  <si>
    <t>Hacen parte del instrumento</t>
  </si>
  <si>
    <t>Remedir ese IF</t>
  </si>
  <si>
    <t>Hallar la nueva tasa</t>
  </si>
  <si>
    <t>Que debo aplicar la TIR</t>
  </si>
  <si>
    <t>Comision que ága el banco, no es gasto</t>
  </si>
  <si>
    <t>Es un mayor valor del activo préstamo x cobrar, para que la TIR sea menor</t>
  </si>
  <si>
    <t>Mamola, yo no hago eso</t>
  </si>
  <si>
    <t>PV - CV</t>
  </si>
  <si>
    <t>CV = GV</t>
  </si>
  <si>
    <t>ICA</t>
  </si>
  <si>
    <t>Comisión</t>
  </si>
  <si>
    <t>Flete - en algunos casos</t>
  </si>
  <si>
    <t>Cultivo de arroz</t>
  </si>
  <si>
    <t>Inventarios en consignación</t>
  </si>
  <si>
    <t>Costo o revaluación</t>
  </si>
  <si>
    <t>Nic 16</t>
  </si>
  <si>
    <t>NIC 16 - NIC 41</t>
  </si>
  <si>
    <t>Caco - café</t>
  </si>
  <si>
    <t>Planta productoras</t>
  </si>
  <si>
    <t>Terrenos y edificios - método de la revaluación, para todo lo demás costo</t>
  </si>
  <si>
    <t>Exención</t>
  </si>
  <si>
    <t>Puede tomar el VR como costo atribuido</t>
  </si>
  <si>
    <t>Puedo tomar un avalúo bajo PCGA, en FT, o antes o despues, pero antes 1 EF</t>
  </si>
  <si>
    <t>Aplico NIC 16 como si siempre lo hubiese hecho</t>
  </si>
  <si>
    <t>Otras reservas- superavit por revaluación</t>
  </si>
  <si>
    <t>Intangibles y PPYE</t>
  </si>
  <si>
    <t>Combinación de negocios</t>
  </si>
  <si>
    <t>Valor pagado</t>
  </si>
  <si>
    <t>Identifique los activos y pasivos adquiridos</t>
  </si>
  <si>
    <t>PPYE PC</t>
  </si>
  <si>
    <t>Software</t>
  </si>
  <si>
    <t>Marca</t>
  </si>
  <si>
    <t>Intangible</t>
  </si>
  <si>
    <t>NIC 17</t>
  </si>
  <si>
    <t>NIIF 16</t>
  </si>
  <si>
    <t>CAF</t>
  </si>
  <si>
    <t>PPYE - pasivo- ind endeudamiento sube</t>
  </si>
  <si>
    <t>EBITDA- sube</t>
  </si>
  <si>
    <t>EBITDA</t>
  </si>
  <si>
    <t xml:space="preserve">Fecha de reconocimiento </t>
  </si>
  <si>
    <t>180 dias</t>
  </si>
  <si>
    <t>Pasivo x vacaciones</t>
  </si>
  <si>
    <t>NIC 37</t>
  </si>
  <si>
    <t>Reclasificarlo a resultados</t>
  </si>
  <si>
    <t>Pasivo financiero por acciones preferenciales</t>
  </si>
  <si>
    <t>Saldo provisión de cartera en renta</t>
  </si>
  <si>
    <t>Deducible</t>
  </si>
  <si>
    <t>Se iguala debido a que su efecto fiscal futuro, es nulo</t>
  </si>
  <si>
    <t>Moldes y plateria</t>
  </si>
  <si>
    <t>Tomamos el menor valor entre la DTI y la dep acumulada fiscal del activo.</t>
  </si>
  <si>
    <t>Sólo a partir del 2015, si se puede</t>
  </si>
  <si>
    <t>Activo por impuesto diferido</t>
  </si>
  <si>
    <t>Efecto sobre el patrimonio</t>
  </si>
  <si>
    <t>Efecto sobre el resultado</t>
  </si>
  <si>
    <t>Colgaap</t>
  </si>
  <si>
    <t>Saldo inicial</t>
  </si>
  <si>
    <t>Saldo final</t>
  </si>
  <si>
    <t>Deterioro de inventarios</t>
  </si>
  <si>
    <t>Saldo inicial ESFA</t>
  </si>
  <si>
    <t>Cuentas de resultado</t>
  </si>
  <si>
    <t>Ingresos y ganancias</t>
  </si>
  <si>
    <t>Venta de bienes y servicios</t>
  </si>
  <si>
    <t>Venta de ganado</t>
  </si>
  <si>
    <t>Resultado por variación del valor razonable de activos biológicos</t>
  </si>
  <si>
    <t>Devoluciones en ventas</t>
  </si>
  <si>
    <t>Resultado por variación del valor razonable de activos financieros</t>
  </si>
  <si>
    <t>Resultado por variación del valor razonable de propiedades de inversión</t>
  </si>
  <si>
    <t>Descuentos comerciales condicionados</t>
  </si>
  <si>
    <t>Dividendos</t>
  </si>
  <si>
    <t>Costos, gastos y pérdidas</t>
  </si>
  <si>
    <t>Costo ganado vendido</t>
  </si>
  <si>
    <t>Otros costos</t>
  </si>
  <si>
    <t>Gastos de personal</t>
  </si>
  <si>
    <t>Impuestos de ICA, predial y GMF</t>
  </si>
  <si>
    <t>Impuesto a la riqueza</t>
  </si>
  <si>
    <t xml:space="preserve">Arrendamientos </t>
  </si>
  <si>
    <t>Depreciaciones</t>
  </si>
  <si>
    <t>Mantenimientos</t>
  </si>
  <si>
    <t>Pólizas y seguros</t>
  </si>
  <si>
    <t>Gastos por litigios</t>
  </si>
  <si>
    <t>Amortización intangibles</t>
  </si>
  <si>
    <t>Deterioro de cuentas por cobrar</t>
  </si>
  <si>
    <t>Gasto impuesto ganancias diferido</t>
  </si>
  <si>
    <t>Gasto impuesto ganancias cte</t>
  </si>
  <si>
    <t>Utilidad del ejercicio</t>
  </si>
  <si>
    <t>A Dic. 31 de 2014</t>
  </si>
  <si>
    <t>Pasivos por contratos de arrendamiento financiero</t>
  </si>
  <si>
    <t>Prestaciones sociales</t>
  </si>
  <si>
    <t>Bonos extralegales largo plazo</t>
  </si>
  <si>
    <t>Pasivo por acciones preferenciales</t>
  </si>
  <si>
    <t>Pasivo por dividendos preferenciales</t>
  </si>
  <si>
    <t>CDT, bonos, Tidis, Repos, derivados, acciones sin C, CC ni IS</t>
  </si>
  <si>
    <t>NIC 27</t>
  </si>
  <si>
    <t>NIC 28</t>
  </si>
  <si>
    <t>NIIF 11</t>
  </si>
  <si>
    <t>NIIF 10</t>
  </si>
  <si>
    <t>Inv subs, NC, asociadas- EFS</t>
  </si>
  <si>
    <t>Asociadas - EFC, EFI</t>
  </si>
  <si>
    <t>Negocios conjuntos - EFC, EFI</t>
  </si>
  <si>
    <t>Subsidiarias - EFC</t>
  </si>
  <si>
    <t>No hay IS, CC, C- EFS, EFI, EFC</t>
  </si>
  <si>
    <t>Costo, VR, MP, la que usted decida</t>
  </si>
  <si>
    <t>MP</t>
  </si>
  <si>
    <t>Consolidación</t>
  </si>
  <si>
    <t>NIIF 1 contempla exención</t>
  </si>
  <si>
    <t>No hay exención</t>
  </si>
  <si>
    <t>Costo, como si siempre lo hubiera usado</t>
  </si>
  <si>
    <t>No tengo el VR</t>
  </si>
  <si>
    <t>Aplique el MP como si siempre lo hubiera usado</t>
  </si>
  <si>
    <t>Tome el mismo valor en libros bajo PCGA como su costo atribuido</t>
  </si>
  <si>
    <t>NC 1- reclasificación de valorizaciones y superavit por valorización</t>
  </si>
  <si>
    <t>Valorizaciones de inversiones</t>
  </si>
  <si>
    <t>Superavit por valorización</t>
  </si>
  <si>
    <t xml:space="preserve">Resultados acumulados </t>
  </si>
  <si>
    <t>ORI - variación VR de IP</t>
  </si>
  <si>
    <t>Costo accion P energy</t>
  </si>
  <si>
    <t>Variación</t>
  </si>
  <si>
    <t>Acción de pacific energy</t>
  </si>
  <si>
    <t>ORI, si o no?????</t>
  </si>
  <si>
    <t>NC 2- remedición de inversiones en subsidiarias por su costo</t>
  </si>
  <si>
    <t>Inversiones en acciones</t>
  </si>
  <si>
    <t>NC 3- reclasificación de inversiones de acuerdo a la estructura de Xbrl</t>
  </si>
  <si>
    <t>Reclasificar a efectivo y equivalentes al efectivo</t>
  </si>
  <si>
    <t>NC 4- reclasificación de inversiones en fondos a efectivo y equivalentes al efectivo</t>
  </si>
  <si>
    <t>Inversiones en fondos</t>
  </si>
  <si>
    <t>Efectivo y equivalente al efectivo- cartera colectiva</t>
  </si>
  <si>
    <t>Derivados</t>
  </si>
  <si>
    <t>No utilice contabilidad de coberturas</t>
  </si>
  <si>
    <t>Contabilidad de coberturas- no es obligatoria</t>
  </si>
  <si>
    <t>Ins financiero</t>
  </si>
  <si>
    <t>Contrapartida</t>
  </si>
  <si>
    <t>Resultados (ganancia o pérdida)</t>
  </si>
  <si>
    <t>ORI y la otra al PYG</t>
  </si>
  <si>
    <t>6,4 billones</t>
  </si>
  <si>
    <t>Efectiva</t>
  </si>
  <si>
    <t>3 billones ORI</t>
  </si>
  <si>
    <t>Nivel de jerarquia 1 2 3 - make to model</t>
  </si>
  <si>
    <t>NC 5- reconocimiento de derivados financieros - swap non delivery</t>
  </si>
  <si>
    <t>Otros pasivos financieros - derivados</t>
  </si>
  <si>
    <t>Resultados acumulados (no uso contab de coberturas)</t>
  </si>
  <si>
    <t>Reclasificamos a activos por impuestos corrientes</t>
  </si>
  <si>
    <t>NC 6- reclasificación de saldo a favor por impuesto de renta para la equidad "CREE"</t>
  </si>
  <si>
    <t>Cuentas por cobrar - ant de impuestos</t>
  </si>
  <si>
    <t>NC 7- remedición de préstamos a empleados, usando una tasa de mercado</t>
  </si>
  <si>
    <t xml:space="preserve">Cuentas por cobrar a trabajadores </t>
  </si>
  <si>
    <t>Imp en libros</t>
  </si>
  <si>
    <t>Imp recuperable</t>
  </si>
  <si>
    <t>NC 8- remedición del deterioro de cuentas por cobrar</t>
  </si>
  <si>
    <t>Cuentas por cobrar - deterioro</t>
  </si>
  <si>
    <t xml:space="preserve">  </t>
  </si>
  <si>
    <t>NC 9- remedición del inventario al menor entre el costo y el VNR</t>
  </si>
  <si>
    <t>Inventarios- deterioro</t>
  </si>
  <si>
    <t>Base de medición es VR menos costos relacionados con la venta</t>
  </si>
  <si>
    <t xml:space="preserve">NC 10- reclasificación y remedición de activos biológicos, por su valor razonable </t>
  </si>
  <si>
    <t>Inventarios de semovientes</t>
  </si>
  <si>
    <t>Resultado acumulado</t>
  </si>
  <si>
    <t>NC 11- reclasificación en propiedades, planta y equipo</t>
  </si>
  <si>
    <t>Valorizaciones de PPYE</t>
  </si>
  <si>
    <t>Si, mi politica de medición posterior es el método del costo</t>
  </si>
  <si>
    <t>Si mi politica de medición posterior es método de la revaluación, debo usar el ORI</t>
  </si>
  <si>
    <t>NC 12- remedición de propiedad, planta y equipo de acuerdo a las vidas útiles establecidas</t>
  </si>
  <si>
    <t>NC 13- reclasificación de gastos pagados por anticipado a cuentas por cobrar</t>
  </si>
  <si>
    <t>Cuentas por cobrar - pagos anticipados</t>
  </si>
  <si>
    <t>NC 14- reclasificación de cargos diferidos a intangibles, PPYE</t>
  </si>
  <si>
    <t>NC 15- desreconocimiento de cargos diferidos</t>
  </si>
  <si>
    <t>NC 16- desreconocimiento de intangibles por marcas generadas internamente</t>
  </si>
  <si>
    <t>Pasivo s/n NIC 17</t>
  </si>
  <si>
    <t>Ganancias</t>
  </si>
  <si>
    <t>Impuestos</t>
  </si>
  <si>
    <t>Amortizaciones</t>
  </si>
  <si>
    <t>NC 17- reconocimiento de contratos de arrendamiento financiero</t>
  </si>
  <si>
    <t>Pasivo financiero - contrato de arrendamiento financiero</t>
  </si>
  <si>
    <t>Depreciación</t>
  </si>
  <si>
    <t>Gasto por interes</t>
  </si>
  <si>
    <t>Gasto por arrendamiento</t>
  </si>
  <si>
    <t>Efecto en resultados</t>
  </si>
  <si>
    <t>Pasivo por contratos de arrendamiento financiero</t>
  </si>
  <si>
    <t>Valor del crédito $ 3.500 millones; el crédito, fue tomado en enero de 2012, plazo seis años. Costos de transacción (comisiones y gastos legales) - $ 125,000,000; Se habían registrado como gastos en PCGA. Tasa 12% EA</t>
  </si>
  <si>
    <t>Bancos</t>
  </si>
  <si>
    <t>Caja /bancos</t>
  </si>
  <si>
    <t>Costo de transacción</t>
  </si>
  <si>
    <t>Vr del pasivo</t>
  </si>
  <si>
    <t>NC 18- remedición de pasivos financieros al costo amortizado por el método de la tasa efectiva</t>
  </si>
  <si>
    <t>Pasivo financiero- costos de transacción</t>
  </si>
  <si>
    <t>NC 19- reclasificación de cuentas por pagar por impuesto de renta (ganancias)</t>
  </si>
  <si>
    <t>Cuentas por pagar por impuestos</t>
  </si>
  <si>
    <t>Pasivo por impuesto corrientes</t>
  </si>
  <si>
    <t>Largo plazo</t>
  </si>
  <si>
    <t>Bonos por años trabajados</t>
  </si>
  <si>
    <t>Un dia adicional de vacaciones por cada x dias trabajados</t>
  </si>
  <si>
    <t>Cesantias</t>
  </si>
  <si>
    <t>Int cesantias</t>
  </si>
  <si>
    <t>Prima</t>
  </si>
  <si>
    <t>Conozco el valor exacto al cierre</t>
  </si>
  <si>
    <t>Incertidumbre, pero poca para ser una provisión, ntonces sigue siendo una cuenta x pagar</t>
  </si>
  <si>
    <t>Hoy- cierre EF</t>
  </si>
  <si>
    <t>$$$$$$$$$$$$$</t>
  </si>
  <si>
    <t>Richard</t>
  </si>
  <si>
    <t>Virgilio</t>
  </si>
  <si>
    <t>Cesar</t>
  </si>
  <si>
    <t>Angelica</t>
  </si>
  <si>
    <t>5 años -  1 salario</t>
  </si>
  <si>
    <t>15 años- 3 salarios</t>
  </si>
  <si>
    <t>10 años - 2 sala</t>
  </si>
  <si>
    <t>tres años</t>
  </si>
  <si>
    <t>cinco años</t>
  </si>
  <si>
    <t>seis meses</t>
  </si>
  <si>
    <t>diez años</t>
  </si>
  <si>
    <t>Variación sueldo</t>
  </si>
  <si>
    <t xml:space="preserve">Empleado </t>
  </si>
  <si>
    <t>Salario</t>
  </si>
  <si>
    <t>Dias trabajados</t>
  </si>
  <si>
    <t>Pasivo por vacaciones</t>
  </si>
  <si>
    <t>Como lo hago hoy</t>
  </si>
  <si>
    <t>Valor esperado</t>
  </si>
  <si>
    <t>Salario estimado año 2016</t>
  </si>
  <si>
    <t>Días derecho</t>
  </si>
  <si>
    <t>Valor de las vacaciones</t>
  </si>
  <si>
    <t>Valor del pasivo</t>
  </si>
  <si>
    <t>NC 20- remedición  de cuentas por pagar por beneficios a los empleados</t>
  </si>
  <si>
    <t>Cuentas por pagar - obligaciones laborales</t>
  </si>
  <si>
    <t>Probable</t>
  </si>
  <si>
    <t>Es pasivo</t>
  </si>
  <si>
    <t>Medición</t>
  </si>
  <si>
    <t>Valor esperado - vr más probable que debe desembolsar la entidad</t>
  </si>
  <si>
    <t>Si el valor a desembolsar y la fecha de desembolso, son sinificativamente diferentes a la fecha de corte.</t>
  </si>
  <si>
    <t>Entonces el valor del paivo, es su VNA de los flujos de efectivo</t>
  </si>
  <si>
    <t>Tasa de descuento  14,44 % EA</t>
  </si>
  <si>
    <t>NC 21- remedición  de pasivos por provisiones</t>
  </si>
  <si>
    <t>1- Existe dividendo minimo obligatorio. Mi supuesto socio va solo en las buenas</t>
  </si>
  <si>
    <t>2- El valor de las acciones no es rescatable</t>
  </si>
  <si>
    <t>3- La acción privilegiada se encuentra subordinada a las acciones ordinarias</t>
  </si>
  <si>
    <t>Para NIC 32, las acciones privilegiadas, donde existe DMG x acción, pertenecen al grupo de los pasivos.</t>
  </si>
  <si>
    <t xml:space="preserve">El dividendo minimo garantizado, es pasivo a dic 31 </t>
  </si>
  <si>
    <t>Los dividendos de estas acciones, no son un menor vr del patrimonio, cuandos  epaguen, sino que son un gasto financiero</t>
  </si>
  <si>
    <t>Reclasificamos acciones preferenciales como un pasivo</t>
  </si>
  <si>
    <t>NC 22- reclasificación de patrimonio por acciones preferenciales como una partida del pasivo</t>
  </si>
  <si>
    <t>Pasivo financiero - acciones preferenciales</t>
  </si>
  <si>
    <t>Cuentas por pagar - dividendos preferenciales</t>
  </si>
  <si>
    <t>NC 23- reclasificación de partidas de patrimonio</t>
  </si>
  <si>
    <t>Reservas legales</t>
  </si>
  <si>
    <t>Revalorización del patrimonio</t>
  </si>
  <si>
    <t>Imponible</t>
  </si>
  <si>
    <t>Inst de patrimonio al VR con cambios en PYG</t>
  </si>
  <si>
    <t>Inst de patrimonio al VR con cambios en ORI</t>
  </si>
  <si>
    <t>Inst de patrimonio por el método de la participación</t>
  </si>
  <si>
    <t>El ingreso generado se cataloga como INCRNGO</t>
  </si>
  <si>
    <t xml:space="preserve">Compraron ese terreno en nov 25 </t>
  </si>
  <si>
    <t>Contratos de arrendamiento financiero</t>
  </si>
  <si>
    <t>NC 24- reconocimiento de impuestos diferidos</t>
  </si>
  <si>
    <t>Pasivo por impuesto diferido</t>
  </si>
  <si>
    <t>Meta personal, que esto de cero</t>
  </si>
  <si>
    <t>Muy bien !!!!!!!!!!!</t>
  </si>
  <si>
    <t>Antes</t>
  </si>
  <si>
    <t>Ahora</t>
  </si>
  <si>
    <t>Saldo igual al del extracto</t>
  </si>
  <si>
    <t>Actualizar deterioro, causar intereses x préstamos gerente</t>
  </si>
  <si>
    <t>En presentación, neteó las retenciones con la CXP</t>
  </si>
  <si>
    <t>Valor neto de realización, CIF costeo</t>
  </si>
  <si>
    <t>Valor razonable (ORI, PYG) actualizado, correr el MP</t>
  </si>
  <si>
    <t>Actualizo el MP, o las dejo por el mismo valor</t>
  </si>
  <si>
    <t>Recalcular el valor razonable</t>
  </si>
  <si>
    <t>Actualizó el valor razonable, todos los periodos</t>
  </si>
  <si>
    <t>Redepreciar bajo NIIF (es diferente al tax)</t>
  </si>
  <si>
    <t>Debemos reversar las amortizaciones de diferidos</t>
  </si>
  <si>
    <t>Reversar el gasto x arrendamiento y recontabilizarlo como menor pasivo y gastos x interes</t>
  </si>
  <si>
    <t>Costos de transacción, debo actualizarla de forma mensual</t>
  </si>
  <si>
    <t>Mensualmente calculó el VR de los swaps</t>
  </si>
  <si>
    <t xml:space="preserve">Remedición de forma mensual </t>
  </si>
  <si>
    <t>Actualizar la tasa, calcular nuevamente las provisiones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</si>
</sst>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0000000000_-;\-* #,##0.00000000000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0.0%"/>
    <numFmt numFmtId="188" formatCode="0.000%"/>
    <numFmt numFmtId="189" formatCode="0.0000%"/>
    <numFmt numFmtId="190" formatCode="0.00000%"/>
    <numFmt numFmtId="191" formatCode="#,##0.0"/>
    <numFmt numFmtId="192" formatCode="#,##0.000"/>
    <numFmt numFmtId="193" formatCode="#,##0.0000"/>
    <numFmt numFmtId="194" formatCode="_(* #,##0.000_);_(* \(#,##0.000\);_(* &quot;-&quot;??_);_(@_)"/>
    <numFmt numFmtId="195" formatCode="_(* #,##0_);_(* \(#,##0\);_(* &quot;-&quot;??_);_(@_)"/>
    <numFmt numFmtId="196" formatCode="0.0000000"/>
    <numFmt numFmtId="197" formatCode="0.00000000"/>
    <numFmt numFmtId="198" formatCode="0.000000%"/>
    <numFmt numFmtId="199" formatCode="0.0000000%"/>
    <numFmt numFmtId="200" formatCode="0.00000000%"/>
    <numFmt numFmtId="201" formatCode="&quot;$&quot;\ #,##0.00;[Red]&quot;$&quot;\ #,##0.00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_-* #,##0.0_-;\-* #,##0.0_-;_-* &quot;-&quot;??_-;_-@_-"/>
    <numFmt numFmtId="206" formatCode="_-* #,##0_-;\-* #,##0_-;_-* &quot;-&quot;??_-;_-@_-"/>
    <numFmt numFmtId="207" formatCode="_-* #,##0.00000000_-;\-* #,##0.00000000_-;_-* &quot;-&quot;??_-;_-@_-"/>
    <numFmt numFmtId="208" formatCode="0.000000000%"/>
    <numFmt numFmtId="209" formatCode="_-* #,##0.00000000_-;\-* #,##0.00000000_-;_-* &quot;-&quot;????????_-;_-@_-"/>
    <numFmt numFmtId="210" formatCode="_ * #,##0.00_ ;_ * \-#,##0.00_ ;_ * &quot;-&quot;??_ ;_ @_ 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00000"/>
    <numFmt numFmtId="222" formatCode="#,##0.0000000000000000"/>
    <numFmt numFmtId="223" formatCode="#,##0.00000000000000000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1" fontId="4" fillId="0" borderId="10" xfId="49" applyFont="1" applyFill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49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10" xfId="49" applyNumberFormat="1" applyFont="1" applyFill="1" applyBorder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5" fillId="0" borderId="0" xfId="0" applyNumberFormat="1" applyFont="1" applyAlignment="1">
      <alignment/>
    </xf>
    <xf numFmtId="171" fontId="5" fillId="0" borderId="0" xfId="49" applyFont="1" applyAlignment="1">
      <alignment/>
    </xf>
    <xf numFmtId="171" fontId="5" fillId="0" borderId="10" xfId="49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171" fontId="5" fillId="0" borderId="0" xfId="49" applyFont="1" applyFill="1" applyAlignment="1">
      <alignment/>
    </xf>
    <xf numFmtId="190" fontId="5" fillId="0" borderId="0" xfId="57" applyNumberFormat="1" applyFont="1" applyAlignment="1">
      <alignment/>
    </xf>
    <xf numFmtId="171" fontId="5" fillId="0" borderId="10" xfId="0" applyNumberFormat="1" applyFont="1" applyBorder="1" applyAlignment="1">
      <alignment/>
    </xf>
    <xf numFmtId="3" fontId="5" fillId="0" borderId="10" xfId="49" applyNumberFormat="1" applyFont="1" applyFill="1" applyBorder="1" applyAlignment="1">
      <alignment horizontal="left" wrapText="1"/>
    </xf>
    <xf numFmtId="0" fontId="53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0" xfId="49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5" fillId="0" borderId="0" xfId="49" applyFont="1" applyFill="1" applyBorder="1" applyAlignment="1">
      <alignment/>
    </xf>
    <xf numFmtId="3" fontId="4" fillId="0" borderId="0" xfId="49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1" fontId="5" fillId="0" borderId="10" xfId="49" applyFont="1" applyFill="1" applyBorder="1" applyAlignment="1">
      <alignment/>
    </xf>
    <xf numFmtId="3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171" fontId="4" fillId="0" borderId="10" xfId="49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0" fontId="4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wrapText="1"/>
    </xf>
    <xf numFmtId="171" fontId="5" fillId="33" borderId="10" xfId="49" applyFont="1" applyFill="1" applyBorder="1" applyAlignment="1">
      <alignment/>
    </xf>
    <xf numFmtId="171" fontId="0" fillId="0" borderId="0" xfId="49" applyFont="1" applyAlignment="1">
      <alignment/>
    </xf>
    <xf numFmtId="171" fontId="4" fillId="33" borderId="10" xfId="49" applyFont="1" applyFill="1" applyBorder="1" applyAlignment="1">
      <alignment/>
    </xf>
    <xf numFmtId="171" fontId="4" fillId="0" borderId="0" xfId="49" applyFont="1" applyFill="1" applyAlignment="1">
      <alignment/>
    </xf>
    <xf numFmtId="171" fontId="4" fillId="0" borderId="0" xfId="49" applyFont="1" applyAlignment="1">
      <alignment/>
    </xf>
    <xf numFmtId="167" fontId="5" fillId="0" borderId="0" xfId="49" applyNumberFormat="1" applyFont="1" applyFill="1" applyAlignment="1">
      <alignment/>
    </xf>
    <xf numFmtId="188" fontId="5" fillId="0" borderId="0" xfId="57" applyNumberFormat="1" applyFont="1" applyFill="1" applyAlignment="1">
      <alignment/>
    </xf>
    <xf numFmtId="171" fontId="5" fillId="0" borderId="0" xfId="49" applyFont="1" applyBorder="1" applyAlignment="1">
      <alignment/>
    </xf>
    <xf numFmtId="17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88" fontId="5" fillId="0" borderId="0" xfId="57" applyNumberFormat="1" applyFont="1" applyAlignment="1">
      <alignment/>
    </xf>
    <xf numFmtId="179" fontId="5" fillId="0" borderId="0" xfId="0" applyNumberFormat="1" applyFont="1" applyBorder="1" applyAlignment="1">
      <alignment/>
    </xf>
    <xf numFmtId="3" fontId="5" fillId="0" borderId="10" xfId="49" applyNumberFormat="1" applyFont="1" applyFill="1" applyBorder="1" applyAlignment="1">
      <alignment horizontal="right" wrapText="1"/>
    </xf>
    <xf numFmtId="190" fontId="5" fillId="0" borderId="0" xfId="57" applyNumberFormat="1" applyFont="1" applyFill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170" fontId="5" fillId="0" borderId="0" xfId="52" applyFont="1" applyFill="1" applyAlignment="1">
      <alignment/>
    </xf>
    <xf numFmtId="198" fontId="4" fillId="0" borderId="0" xfId="0" applyNumberFormat="1" applyFont="1" applyFill="1" applyAlignment="1">
      <alignment/>
    </xf>
    <xf numFmtId="167" fontId="5" fillId="0" borderId="0" xfId="57" applyNumberFormat="1" applyFont="1" applyFill="1" applyAlignment="1">
      <alignment/>
    </xf>
    <xf numFmtId="171" fontId="6" fillId="0" borderId="0" xfId="49" applyFont="1" applyAlignment="1">
      <alignment/>
    </xf>
    <xf numFmtId="10" fontId="5" fillId="0" borderId="0" xfId="0" applyNumberFormat="1" applyFont="1" applyFill="1" applyAlignment="1">
      <alignment/>
    </xf>
    <xf numFmtId="171" fontId="5" fillId="0" borderId="10" xfId="49" applyFont="1" applyFill="1" applyBorder="1" applyAlignment="1">
      <alignment horizontal="left"/>
    </xf>
    <xf numFmtId="14" fontId="5" fillId="0" borderId="10" xfId="49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71" fontId="4" fillId="35" borderId="10" xfId="49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3" fontId="4" fillId="35" borderId="10" xfId="49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171" fontId="5" fillId="35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4" fillId="36" borderId="0" xfId="0" applyFont="1" applyFill="1" applyAlignment="1">
      <alignment/>
    </xf>
    <xf numFmtId="0" fontId="55" fillId="36" borderId="0" xfId="0" applyFont="1" applyFill="1" applyAlignment="1">
      <alignment wrapText="1"/>
    </xf>
    <xf numFmtId="0" fontId="4" fillId="35" borderId="10" xfId="0" applyFont="1" applyFill="1" applyBorder="1" applyAlignment="1">
      <alignment/>
    </xf>
    <xf numFmtId="3" fontId="4" fillId="35" borderId="10" xfId="49" applyNumberFormat="1" applyFont="1" applyFill="1" applyBorder="1" applyAlignment="1">
      <alignment horizontal="center" wrapText="1"/>
    </xf>
    <xf numFmtId="3" fontId="4" fillId="35" borderId="10" xfId="49" applyNumberFormat="1" applyFont="1" applyFill="1" applyBorder="1" applyAlignment="1">
      <alignment horizontal="left" wrapText="1"/>
    </xf>
    <xf numFmtId="171" fontId="4" fillId="35" borderId="10" xfId="49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171" fontId="5" fillId="35" borderId="10" xfId="49" applyFont="1" applyFill="1" applyBorder="1" applyAlignment="1">
      <alignment/>
    </xf>
    <xf numFmtId="10" fontId="4" fillId="35" borderId="10" xfId="0" applyNumberFormat="1" applyFont="1" applyFill="1" applyBorder="1" applyAlignment="1">
      <alignment horizontal="center"/>
    </xf>
    <xf numFmtId="3" fontId="5" fillId="35" borderId="10" xfId="49" applyNumberFormat="1" applyFont="1" applyFill="1" applyBorder="1" applyAlignment="1">
      <alignment/>
    </xf>
    <xf numFmtId="171" fontId="4" fillId="35" borderId="10" xfId="0" applyNumberFormat="1" applyFont="1" applyFill="1" applyBorder="1" applyAlignment="1">
      <alignment/>
    </xf>
    <xf numFmtId="3" fontId="4" fillId="35" borderId="10" xfId="49" applyNumberFormat="1" applyFont="1" applyFill="1" applyBorder="1" applyAlignment="1">
      <alignment horizontal="right" wrapText="1"/>
    </xf>
    <xf numFmtId="3" fontId="5" fillId="0" borderId="12" xfId="49" applyNumberFormat="1" applyFont="1" applyFill="1" applyBorder="1" applyAlignment="1">
      <alignment/>
    </xf>
    <xf numFmtId="3" fontId="4" fillId="35" borderId="12" xfId="49" applyNumberFormat="1" applyFont="1" applyFill="1" applyBorder="1" applyAlignment="1">
      <alignment horizontal="left" wrapText="1"/>
    </xf>
    <xf numFmtId="167" fontId="5" fillId="0" borderId="10" xfId="49" applyNumberFormat="1" applyFont="1" applyBorder="1" applyAlignment="1">
      <alignment/>
    </xf>
    <xf numFmtId="167" fontId="5" fillId="33" borderId="10" xfId="49" applyNumberFormat="1" applyFont="1" applyFill="1" applyBorder="1" applyAlignment="1">
      <alignment/>
    </xf>
    <xf numFmtId="167" fontId="4" fillId="35" borderId="10" xfId="0" applyNumberFormat="1" applyFont="1" applyFill="1" applyBorder="1" applyAlignment="1">
      <alignment/>
    </xf>
    <xf numFmtId="200" fontId="4" fillId="0" borderId="0" xfId="57" applyNumberFormat="1" applyFont="1" applyAlignment="1">
      <alignment/>
    </xf>
    <xf numFmtId="0" fontId="4" fillId="35" borderId="10" xfId="0" applyFont="1" applyFill="1" applyBorder="1" applyAlignment="1">
      <alignment wrapText="1"/>
    </xf>
    <xf numFmtId="0" fontId="7" fillId="0" borderId="0" xfId="46" applyFont="1" applyAlignment="1" applyProtection="1">
      <alignment/>
      <protection/>
    </xf>
    <xf numFmtId="0" fontId="5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46" applyFont="1" applyFill="1" applyAlignment="1" applyProtection="1">
      <alignment/>
      <protection/>
    </xf>
    <xf numFmtId="0" fontId="8" fillId="36" borderId="0" xfId="0" applyFont="1" applyFill="1" applyAlignment="1">
      <alignment wrapText="1"/>
    </xf>
    <xf numFmtId="0" fontId="5" fillId="0" borderId="10" xfId="46" applyFont="1" applyFill="1" applyBorder="1" applyAlignment="1" applyProtection="1">
      <alignment wrapText="1"/>
      <protection/>
    </xf>
    <xf numFmtId="171" fontId="6" fillId="35" borderId="0" xfId="49" applyFont="1" applyFill="1" applyAlignment="1">
      <alignment/>
    </xf>
    <xf numFmtId="171" fontId="0" fillId="35" borderId="0" xfId="49" applyFont="1" applyFill="1" applyAlignment="1">
      <alignment/>
    </xf>
    <xf numFmtId="0" fontId="9" fillId="0" borderId="0" xfId="0" applyFont="1" applyFill="1" applyBorder="1" applyAlignment="1">
      <alignment/>
    </xf>
    <xf numFmtId="3" fontId="58" fillId="33" borderId="0" xfId="0" applyNumberFormat="1" applyFont="1" applyFill="1" applyAlignment="1">
      <alignment/>
    </xf>
    <xf numFmtId="171" fontId="5" fillId="0" borderId="0" xfId="49" applyNumberFormat="1" applyFont="1" applyFill="1" applyBorder="1" applyAlignment="1">
      <alignment/>
    </xf>
    <xf numFmtId="206" fontId="5" fillId="0" borderId="0" xfId="49" applyNumberFormat="1" applyFont="1" applyFill="1" applyBorder="1" applyAlignment="1">
      <alignment/>
    </xf>
    <xf numFmtId="206" fontId="5" fillId="0" borderId="10" xfId="49" applyNumberFormat="1" applyFont="1" applyFill="1" applyBorder="1" applyAlignment="1">
      <alignment/>
    </xf>
    <xf numFmtId="4" fontId="4" fillId="35" borderId="10" xfId="49" applyNumberFormat="1" applyFont="1" applyFill="1" applyBorder="1" applyAlignment="1">
      <alignment/>
    </xf>
    <xf numFmtId="206" fontId="4" fillId="35" borderId="10" xfId="49" applyNumberFormat="1" applyFont="1" applyFill="1" applyBorder="1" applyAlignment="1">
      <alignment/>
    </xf>
    <xf numFmtId="167" fontId="5" fillId="33" borderId="0" xfId="49" applyNumberFormat="1" applyFont="1" applyFill="1" applyAlignment="1">
      <alignment/>
    </xf>
    <xf numFmtId="171" fontId="5" fillId="33" borderId="0" xfId="49" applyFont="1" applyFill="1" applyAlignment="1">
      <alignment/>
    </xf>
    <xf numFmtId="171" fontId="5" fillId="36" borderId="0" xfId="49" applyFont="1" applyFill="1" applyAlignment="1">
      <alignment/>
    </xf>
    <xf numFmtId="0" fontId="5" fillId="33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171" fontId="4" fillId="0" borderId="0" xfId="49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46" applyFont="1" applyFill="1" applyAlignment="1" applyProtection="1">
      <alignment/>
      <protection/>
    </xf>
    <xf numFmtId="167" fontId="5" fillId="0" borderId="10" xfId="49" applyNumberFormat="1" applyFont="1" applyFill="1" applyBorder="1" applyAlignment="1">
      <alignment/>
    </xf>
    <xf numFmtId="170" fontId="5" fillId="0" borderId="0" xfId="49" applyNumberFormat="1" applyFont="1" applyFill="1" applyAlignment="1">
      <alignment/>
    </xf>
    <xf numFmtId="17" fontId="5" fillId="0" borderId="0" xfId="0" applyNumberFormat="1" applyFont="1" applyAlignment="1">
      <alignment/>
    </xf>
    <xf numFmtId="3" fontId="5" fillId="33" borderId="10" xfId="49" applyNumberFormat="1" applyFont="1" applyFill="1" applyBorder="1" applyAlignment="1">
      <alignment/>
    </xf>
    <xf numFmtId="167" fontId="5" fillId="0" borderId="0" xfId="0" applyNumberFormat="1" applyFont="1" applyAlignment="1">
      <alignment/>
    </xf>
    <xf numFmtId="3" fontId="4" fillId="33" borderId="0" xfId="49" applyNumberFormat="1" applyFont="1" applyFill="1" applyBorder="1" applyAlignment="1">
      <alignment/>
    </xf>
    <xf numFmtId="3" fontId="5" fillId="33" borderId="0" xfId="49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7" fontId="0" fillId="0" borderId="0" xfId="0" applyNumberFormat="1" applyAlignment="1">
      <alignment/>
    </xf>
    <xf numFmtId="17" fontId="0" fillId="0" borderId="0" xfId="0" applyNumberFormat="1" applyAlignment="1">
      <alignment/>
    </xf>
    <xf numFmtId="199" fontId="6" fillId="0" borderId="0" xfId="0" applyNumberFormat="1" applyFont="1" applyAlignment="1">
      <alignment/>
    </xf>
    <xf numFmtId="17" fontId="0" fillId="33" borderId="0" xfId="0" applyNumberFormat="1" applyFill="1" applyAlignment="1">
      <alignment/>
    </xf>
    <xf numFmtId="171" fontId="0" fillId="0" borderId="0" xfId="0" applyNumberFormat="1" applyAlignment="1">
      <alignment/>
    </xf>
    <xf numFmtId="171" fontId="0" fillId="33" borderId="0" xfId="0" applyNumberFormat="1" applyFill="1" applyAlignment="1">
      <alignment/>
    </xf>
    <xf numFmtId="171" fontId="6" fillId="0" borderId="0" xfId="0" applyNumberFormat="1" applyFont="1" applyAlignment="1">
      <alignment/>
    </xf>
    <xf numFmtId="0" fontId="0" fillId="33" borderId="0" xfId="0" applyFill="1" applyAlignment="1">
      <alignment/>
    </xf>
    <xf numFmtId="206" fontId="5" fillId="0" borderId="0" xfId="49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0" fontId="5" fillId="0" borderId="0" xfId="57" applyNumberFormat="1" applyFont="1" applyFill="1" applyAlignment="1">
      <alignment/>
    </xf>
    <xf numFmtId="167" fontId="0" fillId="33" borderId="0" xfId="0" applyNumberFormat="1" applyFill="1" applyAlignment="1">
      <alignment/>
    </xf>
    <xf numFmtId="190" fontId="0" fillId="33" borderId="0" xfId="57" applyNumberFormat="1" applyFont="1" applyFill="1" applyAlignment="1">
      <alignment/>
    </xf>
    <xf numFmtId="171" fontId="4" fillId="0" borderId="0" xfId="0" applyNumberFormat="1" applyFont="1" applyAlignment="1">
      <alignment/>
    </xf>
    <xf numFmtId="198" fontId="4" fillId="0" borderId="0" xfId="57" applyNumberFormat="1" applyFont="1" applyFill="1" applyAlignment="1">
      <alignment/>
    </xf>
    <xf numFmtId="3" fontId="4" fillId="35" borderId="10" xfId="51" applyNumberFormat="1" applyFont="1" applyFill="1" applyBorder="1" applyAlignment="1">
      <alignment horizontal="center" wrapText="1"/>
    </xf>
    <xf numFmtId="10" fontId="5" fillId="0" borderId="0" xfId="59" applyNumberFormat="1" applyFont="1" applyFill="1" applyAlignment="1">
      <alignment/>
    </xf>
    <xf numFmtId="2" fontId="5" fillId="0" borderId="0" xfId="0" applyNumberFormat="1" applyFont="1" applyAlignment="1">
      <alignment/>
    </xf>
    <xf numFmtId="171" fontId="5" fillId="0" borderId="0" xfId="49" applyFont="1" applyAlignment="1">
      <alignment/>
    </xf>
    <xf numFmtId="9" fontId="5" fillId="0" borderId="0" xfId="0" applyNumberFormat="1" applyFont="1" applyAlignment="1">
      <alignment/>
    </xf>
    <xf numFmtId="171" fontId="0" fillId="0" borderId="0" xfId="49" applyFont="1" applyAlignment="1">
      <alignment/>
    </xf>
    <xf numFmtId="9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4" xfId="0" applyFont="1" applyBorder="1" applyAlignment="1">
      <alignment/>
    </xf>
    <xf numFmtId="9" fontId="0" fillId="0" borderId="0" xfId="49" applyNumberFormat="1" applyFont="1" applyAlignment="1">
      <alignment/>
    </xf>
    <xf numFmtId="17" fontId="0" fillId="0" borderId="0" xfId="49" applyNumberFormat="1" applyFont="1" applyAlignment="1">
      <alignment/>
    </xf>
    <xf numFmtId="167" fontId="0" fillId="0" borderId="0" xfId="49" applyNumberFormat="1" applyFont="1" applyAlignment="1">
      <alignment/>
    </xf>
    <xf numFmtId="208" fontId="0" fillId="0" borderId="0" xfId="57" applyNumberFormat="1" applyFont="1" applyAlignment="1">
      <alignment/>
    </xf>
    <xf numFmtId="167" fontId="6" fillId="0" borderId="0" xfId="49" applyNumberFormat="1" applyFont="1" applyAlignment="1">
      <alignment/>
    </xf>
    <xf numFmtId="171" fontId="0" fillId="33" borderId="0" xfId="49" applyFont="1" applyFill="1" applyAlignment="1">
      <alignment/>
    </xf>
    <xf numFmtId="3" fontId="4" fillId="0" borderId="0" xfId="49" applyNumberFormat="1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59" fillId="0" borderId="0" xfId="0" applyFont="1" applyAlignment="1">
      <alignment/>
    </xf>
    <xf numFmtId="0" fontId="0" fillId="33" borderId="0" xfId="0" applyFont="1" applyFill="1" applyAlignment="1">
      <alignment/>
    </xf>
    <xf numFmtId="0" fontId="59" fillId="7" borderId="0" xfId="0" applyFont="1" applyFill="1" applyAlignment="1">
      <alignment/>
    </xf>
    <xf numFmtId="0" fontId="58" fillId="0" borderId="0" xfId="0" applyFont="1" applyAlignment="1">
      <alignment/>
    </xf>
    <xf numFmtId="171" fontId="0" fillId="0" borderId="0" xfId="49" applyFont="1" applyAlignment="1">
      <alignment wrapText="1"/>
    </xf>
    <xf numFmtId="171" fontId="0" fillId="0" borderId="0" xfId="49" applyFont="1" applyAlignment="1">
      <alignment wrapText="1"/>
    </xf>
    <xf numFmtId="0" fontId="11" fillId="0" borderId="15" xfId="0" applyFont="1" applyFill="1" applyBorder="1" applyAlignment="1">
      <alignment vertical="top" wrapText="1"/>
    </xf>
    <xf numFmtId="206" fontId="11" fillId="0" borderId="15" xfId="49" applyNumberFormat="1" applyFont="1" applyFill="1" applyBorder="1" applyAlignment="1">
      <alignment horizontal="center" vertical="top" wrapText="1"/>
    </xf>
    <xf numFmtId="206" fontId="4" fillId="0" borderId="10" xfId="49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 vertical="top" wrapText="1"/>
    </xf>
    <xf numFmtId="206" fontId="8" fillId="0" borderId="15" xfId="0" applyNumberFormat="1" applyFont="1" applyFill="1" applyBorder="1" applyAlignment="1">
      <alignment horizontal="left" vertical="top" wrapText="1"/>
    </xf>
    <xf numFmtId="17" fontId="5" fillId="0" borderId="10" xfId="0" applyNumberFormat="1" applyFont="1" applyBorder="1" applyAlignment="1">
      <alignment/>
    </xf>
    <xf numFmtId="17" fontId="5" fillId="33" borderId="10" xfId="0" applyNumberFormat="1" applyFont="1" applyFill="1" applyBorder="1" applyAlignment="1">
      <alignment/>
    </xf>
    <xf numFmtId="3" fontId="5" fillId="0" borderId="0" xfId="49" applyNumberFormat="1" applyFont="1" applyFill="1" applyBorder="1" applyAlignment="1">
      <alignment horizontal="left" wrapText="1"/>
    </xf>
    <xf numFmtId="171" fontId="4" fillId="35" borderId="10" xfId="49" applyFont="1" applyFill="1" applyBorder="1" applyAlignment="1">
      <alignment wrapText="1"/>
    </xf>
    <xf numFmtId="170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171" fontId="0" fillId="33" borderId="0" xfId="49" applyFont="1" applyFill="1" applyAlignment="1">
      <alignment/>
    </xf>
    <xf numFmtId="175" fontId="0" fillId="0" borderId="0" xfId="0" applyNumberFormat="1" applyAlignment="1">
      <alignment/>
    </xf>
    <xf numFmtId="175" fontId="6" fillId="0" borderId="0" xfId="0" applyNumberFormat="1" applyFont="1" applyAlignment="1">
      <alignment/>
    </xf>
    <xf numFmtId="10" fontId="6" fillId="0" borderId="0" xfId="57" applyNumberFormat="1" applyFont="1" applyAlignment="1">
      <alignment/>
    </xf>
    <xf numFmtId="179" fontId="5" fillId="0" borderId="0" xfId="0" applyNumberFormat="1" applyFont="1" applyAlignment="1">
      <alignment/>
    </xf>
    <xf numFmtId="10" fontId="5" fillId="0" borderId="10" xfId="57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9" fontId="5" fillId="0" borderId="0" xfId="57" applyFont="1" applyAlignment="1">
      <alignment/>
    </xf>
    <xf numFmtId="3" fontId="5" fillId="33" borderId="10" xfId="49" applyNumberFormat="1" applyFont="1" applyFill="1" applyBorder="1" applyAlignment="1">
      <alignment horizontal="left" wrapText="1"/>
    </xf>
    <xf numFmtId="189" fontId="5" fillId="0" borderId="0" xfId="57" applyNumberFormat="1" applyFont="1" applyFill="1" applyAlignment="1">
      <alignment/>
    </xf>
    <xf numFmtId="0" fontId="8" fillId="0" borderId="0" xfId="0" applyFont="1" applyAlignment="1">
      <alignment/>
    </xf>
    <xf numFmtId="0" fontId="11" fillId="36" borderId="0" xfId="0" applyFont="1" applyFill="1" applyAlignment="1">
      <alignment/>
    </xf>
    <xf numFmtId="0" fontId="11" fillId="0" borderId="0" xfId="0" applyFont="1" applyAlignment="1">
      <alignment/>
    </xf>
    <xf numFmtId="171" fontId="11" fillId="0" borderId="0" xfId="49" applyFont="1" applyAlignment="1">
      <alignment/>
    </xf>
    <xf numFmtId="0" fontId="8" fillId="0" borderId="0" xfId="0" applyFont="1" applyBorder="1" applyAlignment="1">
      <alignment wrapText="1"/>
    </xf>
    <xf numFmtId="171" fontId="8" fillId="0" borderId="0" xfId="49" applyFont="1" applyBorder="1" applyAlignment="1">
      <alignment wrapText="1"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6" xfId="0" applyFont="1" applyFill="1" applyBorder="1" applyAlignment="1">
      <alignment wrapText="1"/>
    </xf>
    <xf numFmtId="171" fontId="8" fillId="0" borderId="17" xfId="49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8" xfId="49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71" fontId="11" fillId="0" borderId="10" xfId="0" applyNumberFormat="1" applyFont="1" applyFill="1" applyBorder="1" applyAlignment="1">
      <alignment wrapText="1"/>
    </xf>
    <xf numFmtId="3" fontId="11" fillId="0" borderId="10" xfId="49" applyNumberFormat="1" applyFont="1" applyFill="1" applyBorder="1" applyAlignment="1">
      <alignment/>
    </xf>
    <xf numFmtId="188" fontId="11" fillId="13" borderId="0" xfId="57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3" fontId="8" fillId="0" borderId="10" xfId="49" applyNumberFormat="1" applyFont="1" applyFill="1" applyBorder="1" applyAlignment="1">
      <alignment/>
    </xf>
    <xf numFmtId="171" fontId="11" fillId="0" borderId="0" xfId="0" applyNumberFormat="1" applyFont="1" applyAlignment="1">
      <alignment/>
    </xf>
    <xf numFmtId="171" fontId="8" fillId="0" borderId="16" xfId="49" applyFont="1" applyBorder="1" applyAlignment="1">
      <alignment wrapText="1"/>
    </xf>
    <xf numFmtId="3" fontId="8" fillId="0" borderId="11" xfId="49" applyNumberFormat="1" applyFont="1" applyFill="1" applyBorder="1" applyAlignment="1">
      <alignment/>
    </xf>
    <xf numFmtId="171" fontId="11" fillId="33" borderId="0" xfId="49" applyFont="1" applyFill="1" applyAlignment="1">
      <alignment/>
    </xf>
    <xf numFmtId="188" fontId="8" fillId="0" borderId="0" xfId="57" applyNumberFormat="1" applyFont="1" applyAlignment="1">
      <alignment/>
    </xf>
    <xf numFmtId="0" fontId="8" fillId="36" borderId="0" xfId="55" applyFont="1" applyFill="1" applyAlignment="1">
      <alignment wrapText="1"/>
      <protection/>
    </xf>
    <xf numFmtId="0" fontId="55" fillId="36" borderId="0" xfId="55" applyFont="1" applyFill="1" applyAlignment="1">
      <alignment wrapText="1"/>
      <protection/>
    </xf>
    <xf numFmtId="0" fontId="5" fillId="36" borderId="0" xfId="55" applyFont="1" applyFill="1">
      <alignment/>
      <protection/>
    </xf>
    <xf numFmtId="0" fontId="4" fillId="0" borderId="0" xfId="55" applyFont="1" applyFill="1" applyAlignment="1">
      <alignment/>
      <protection/>
    </xf>
    <xf numFmtId="0" fontId="53" fillId="0" borderId="0" xfId="55" applyFont="1" applyFill="1" applyAlignment="1">
      <alignment/>
      <protection/>
    </xf>
    <xf numFmtId="0" fontId="56" fillId="0" borderId="0" xfId="55" applyFont="1" applyFill="1">
      <alignment/>
      <protection/>
    </xf>
    <xf numFmtId="0" fontId="53" fillId="0" borderId="0" xfId="55" applyFont="1" applyFill="1">
      <alignment/>
      <protection/>
    </xf>
    <xf numFmtId="0" fontId="4" fillId="35" borderId="10" xfId="55" applyFont="1" applyFill="1" applyBorder="1" applyAlignment="1">
      <alignment/>
      <protection/>
    </xf>
    <xf numFmtId="0" fontId="4" fillId="35" borderId="10" xfId="55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206" fontId="5" fillId="0" borderId="0" xfId="51" applyNumberFormat="1" applyFont="1" applyFill="1" applyBorder="1" applyAlignment="1">
      <alignment/>
    </xf>
    <xf numFmtId="3" fontId="5" fillId="0" borderId="0" xfId="51" applyNumberFormat="1" applyFont="1" applyFill="1" applyBorder="1" applyAlignment="1">
      <alignment/>
    </xf>
    <xf numFmtId="0" fontId="4" fillId="0" borderId="0" xfId="55" applyFont="1" applyFill="1">
      <alignment/>
      <protection/>
    </xf>
    <xf numFmtId="206" fontId="5" fillId="0" borderId="10" xfId="51" applyNumberFormat="1" applyFont="1" applyFill="1" applyBorder="1" applyAlignment="1">
      <alignment/>
    </xf>
    <xf numFmtId="3" fontId="5" fillId="0" borderId="10" xfId="51" applyNumberFormat="1" applyFont="1" applyFill="1" applyBorder="1" applyAlignment="1">
      <alignment/>
    </xf>
    <xf numFmtId="171" fontId="5" fillId="0" borderId="0" xfId="55" applyNumberFormat="1" applyFont="1" applyFill="1">
      <alignment/>
      <protection/>
    </xf>
    <xf numFmtId="0" fontId="5" fillId="0" borderId="0" xfId="46" applyFont="1" applyFill="1" applyBorder="1" applyAlignment="1" applyProtection="1">
      <alignment wrapText="1"/>
      <protection/>
    </xf>
    <xf numFmtId="3" fontId="5" fillId="0" borderId="0" xfId="55" applyNumberFormat="1" applyFont="1" applyFill="1">
      <alignment/>
      <protection/>
    </xf>
    <xf numFmtId="0" fontId="4" fillId="35" borderId="10" xfId="55" applyFont="1" applyFill="1" applyBorder="1" applyAlignment="1">
      <alignment horizontal="left"/>
      <protection/>
    </xf>
    <xf numFmtId="206" fontId="4" fillId="35" borderId="10" xfId="51" applyNumberFormat="1" applyFont="1" applyFill="1" applyBorder="1" applyAlignment="1">
      <alignment/>
    </xf>
    <xf numFmtId="3" fontId="4" fillId="35" borderId="10" xfId="51" applyNumberFormat="1" applyFont="1" applyFill="1" applyBorder="1" applyAlignment="1">
      <alignment/>
    </xf>
    <xf numFmtId="10" fontId="4" fillId="0" borderId="0" xfId="55" applyNumberFormat="1" applyFont="1" applyFill="1" applyAlignment="1">
      <alignment horizontal="center"/>
      <protection/>
    </xf>
    <xf numFmtId="0" fontId="4" fillId="35" borderId="10" xfId="55" applyFont="1" applyFill="1" applyBorder="1">
      <alignment/>
      <protection/>
    </xf>
    <xf numFmtId="171" fontId="5" fillId="35" borderId="10" xfId="51" applyFont="1" applyFill="1" applyBorder="1" applyAlignment="1">
      <alignment/>
    </xf>
    <xf numFmtId="10" fontId="4" fillId="35" borderId="10" xfId="55" applyNumberFormat="1" applyFont="1" applyFill="1" applyBorder="1" applyAlignment="1">
      <alignment horizontal="center"/>
      <protection/>
    </xf>
    <xf numFmtId="0" fontId="5" fillId="35" borderId="10" xfId="55" applyFont="1" applyFill="1" applyBorder="1">
      <alignment/>
      <protection/>
    </xf>
    <xf numFmtId="4" fontId="4" fillId="35" borderId="1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198" fontId="4" fillId="0" borderId="0" xfId="58" applyNumberFormat="1" applyFont="1" applyFill="1" applyAlignment="1">
      <alignment/>
    </xf>
    <xf numFmtId="171" fontId="5" fillId="2" borderId="0" xfId="51" applyNumberFormat="1" applyFont="1" applyFill="1" applyBorder="1" applyAlignment="1">
      <alignment/>
    </xf>
    <xf numFmtId="171" fontId="5" fillId="2" borderId="0" xfId="51" applyFont="1" applyFill="1" applyBorder="1" applyAlignment="1">
      <alignment/>
    </xf>
    <xf numFmtId="0" fontId="4" fillId="35" borderId="0" xfId="55" applyFont="1" applyFill="1" applyBorder="1">
      <alignment/>
      <protection/>
    </xf>
    <xf numFmtId="3" fontId="4" fillId="35" borderId="0" xfId="51" applyNumberFormat="1" applyFont="1" applyFill="1" applyBorder="1" applyAlignment="1">
      <alignment/>
    </xf>
    <xf numFmtId="0" fontId="5" fillId="0" borderId="0" xfId="55" applyFont="1" applyFill="1" applyBorder="1">
      <alignment/>
      <protection/>
    </xf>
    <xf numFmtId="3" fontId="4" fillId="0" borderId="10" xfId="51" applyNumberFormat="1" applyFont="1" applyFill="1" applyBorder="1" applyAlignment="1">
      <alignment/>
    </xf>
    <xf numFmtId="171" fontId="5" fillId="0" borderId="0" xfId="51" applyFont="1" applyFill="1" applyAlignment="1">
      <alignment/>
    </xf>
    <xf numFmtId="0" fontId="4" fillId="0" borderId="0" xfId="55" applyFont="1" applyFill="1" applyBorder="1">
      <alignment/>
      <protection/>
    </xf>
    <xf numFmtId="171" fontId="5" fillId="0" borderId="0" xfId="51" applyFont="1" applyFill="1" applyBorder="1" applyAlignment="1">
      <alignment/>
    </xf>
    <xf numFmtId="0" fontId="5" fillId="0" borderId="10" xfId="55" applyFont="1" applyFill="1" applyBorder="1">
      <alignment/>
      <protection/>
    </xf>
    <xf numFmtId="3" fontId="5" fillId="33" borderId="0" xfId="55" applyNumberFormat="1" applyFont="1" applyFill="1">
      <alignment/>
      <protection/>
    </xf>
    <xf numFmtId="3" fontId="58" fillId="0" borderId="10" xfId="49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171" fontId="5" fillId="0" borderId="14" xfId="49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left" wrapText="1"/>
    </xf>
    <xf numFmtId="0" fontId="5" fillId="35" borderId="17" xfId="0" applyFont="1" applyFill="1" applyBorder="1" applyAlignment="1">
      <alignment horizontal="left" wrapText="1"/>
    </xf>
    <xf numFmtId="0" fontId="5" fillId="35" borderId="22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0" fontId="5" fillId="35" borderId="19" xfId="0" applyFont="1" applyFill="1" applyBorder="1" applyAlignment="1">
      <alignment horizontal="left" wrapText="1"/>
    </xf>
    <xf numFmtId="0" fontId="5" fillId="35" borderId="23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5" fillId="35" borderId="18" xfId="0" applyFont="1" applyFill="1" applyBorder="1" applyAlignment="1">
      <alignment horizontal="left" wrapText="1"/>
    </xf>
    <xf numFmtId="3" fontId="4" fillId="35" borderId="12" xfId="49" applyNumberFormat="1" applyFont="1" applyFill="1" applyBorder="1" applyAlignment="1">
      <alignment horizontal="left" wrapText="1"/>
    </xf>
    <xf numFmtId="3" fontId="4" fillId="35" borderId="24" xfId="49" applyNumberFormat="1" applyFont="1" applyFill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Relationship Id="rId7" Type="http://schemas.openxmlformats.org/officeDocument/2006/relationships/image" Target="../media/image3.png" /><Relationship Id="rId8" Type="http://schemas.openxmlformats.org/officeDocument/2006/relationships/hyperlink" Target="#Conciliacion!A1" /><Relationship Id="rId9" Type="http://schemas.openxmlformats.org/officeDocument/2006/relationships/hyperlink" Target="#Conciliacion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Relationship Id="rId7" Type="http://schemas.openxmlformats.org/officeDocument/2006/relationships/image" Target="../media/image4.png" /><Relationship Id="rId8" Type="http://schemas.openxmlformats.org/officeDocument/2006/relationships/hyperlink" Target="#Impopatrimonio!A1" /><Relationship Id="rId9" Type="http://schemas.openxmlformats.org/officeDocument/2006/relationships/hyperlink" Target="#Impopatrimonio!A1" /><Relationship Id="rId10" Type="http://schemas.openxmlformats.org/officeDocument/2006/relationships/image" Target="../media/image5.png" /><Relationship Id="rId11" Type="http://schemas.openxmlformats.org/officeDocument/2006/relationships/hyperlink" Target="#Laboral!A1" /><Relationship Id="rId12" Type="http://schemas.openxmlformats.org/officeDocument/2006/relationships/hyperlink" Target="#Laboral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Relationship Id="rId7" Type="http://schemas.openxmlformats.org/officeDocument/2006/relationships/image" Target="../media/image6.png" /><Relationship Id="rId8" Type="http://schemas.openxmlformats.org/officeDocument/2006/relationships/hyperlink" Target="#Pasivos!A1" /><Relationship Id="rId9" Type="http://schemas.openxmlformats.org/officeDocument/2006/relationships/hyperlink" Target="#Pasivo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Balance!A1" /><Relationship Id="rId3" Type="http://schemas.openxmlformats.org/officeDocument/2006/relationships/hyperlink" Target="#Balance!A1" /><Relationship Id="rId4" Type="http://schemas.openxmlformats.org/officeDocument/2006/relationships/image" Target="../media/image2.png" /><Relationship Id="rId5" Type="http://schemas.openxmlformats.org/officeDocument/2006/relationships/hyperlink" Target="#Ajustes!A1" /><Relationship Id="rId6" Type="http://schemas.openxmlformats.org/officeDocument/2006/relationships/hyperlink" Target="#Ajuste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0</xdr:rowOff>
    </xdr:from>
    <xdr:to>
      <xdr:col>0</xdr:col>
      <xdr:colOff>2019300</xdr:colOff>
      <xdr:row>0</xdr:row>
      <xdr:rowOff>609600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0</xdr:row>
      <xdr:rowOff>0</xdr:rowOff>
    </xdr:from>
    <xdr:to>
      <xdr:col>2</xdr:col>
      <xdr:colOff>1000125</xdr:colOff>
      <xdr:row>0</xdr:row>
      <xdr:rowOff>619125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114300</xdr:colOff>
      <xdr:row>0</xdr:row>
      <xdr:rowOff>619125</xdr:rowOff>
    </xdr:to>
    <xdr:pic>
      <xdr:nvPicPr>
        <xdr:cNvPr id="3" name="Imagen 6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38900" y="0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0</xdr:rowOff>
    </xdr:from>
    <xdr:to>
      <xdr:col>4</xdr:col>
      <xdr:colOff>314325</xdr:colOff>
      <xdr:row>1</xdr:row>
      <xdr:rowOff>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1362075</xdr:colOff>
      <xdr:row>0</xdr:row>
      <xdr:rowOff>0</xdr:rowOff>
    </xdr:from>
    <xdr:to>
      <xdr:col>4</xdr:col>
      <xdr:colOff>180975</xdr:colOff>
      <xdr:row>1</xdr:row>
      <xdr:rowOff>9525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17</xdr:row>
      <xdr:rowOff>161925</xdr:rowOff>
    </xdr:from>
    <xdr:to>
      <xdr:col>7</xdr:col>
      <xdr:colOff>552450</xdr:colOff>
      <xdr:row>22</xdr:row>
      <xdr:rowOff>142875</xdr:rowOff>
    </xdr:to>
    <xdr:pic>
      <xdr:nvPicPr>
        <xdr:cNvPr id="3" name="Imagen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96200" y="3819525"/>
          <a:ext cx="1943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43</xdr:row>
      <xdr:rowOff>19050</xdr:rowOff>
    </xdr:from>
    <xdr:to>
      <xdr:col>1</xdr:col>
      <xdr:colOff>1228725</xdr:colOff>
      <xdr:row>47</xdr:row>
      <xdr:rowOff>114300</xdr:rowOff>
    </xdr:to>
    <xdr:pic>
      <xdr:nvPicPr>
        <xdr:cNvPr id="4" name="Imagen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840105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1</xdr:row>
      <xdr:rowOff>19050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1019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4</xdr:col>
      <xdr:colOff>276225</xdr:colOff>
      <xdr:row>1</xdr:row>
      <xdr:rowOff>38100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0"/>
          <a:ext cx="1381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19050</xdr:rowOff>
    </xdr:from>
    <xdr:to>
      <xdr:col>6</xdr:col>
      <xdr:colOff>904875</xdr:colOff>
      <xdr:row>0</xdr:row>
      <xdr:rowOff>666750</xdr:rowOff>
    </xdr:to>
    <xdr:pic>
      <xdr:nvPicPr>
        <xdr:cNvPr id="3" name="Imagen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00950" y="190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0</xdr:rowOff>
    </xdr:from>
    <xdr:to>
      <xdr:col>4</xdr:col>
      <xdr:colOff>266700</xdr:colOff>
      <xdr:row>1</xdr:row>
      <xdr:rowOff>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609600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9525</xdr:rowOff>
    </xdr:from>
    <xdr:to>
      <xdr:col>3</xdr:col>
      <xdr:colOff>1076325</xdr:colOff>
      <xdr:row>0</xdr:row>
      <xdr:rowOff>619125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9525"/>
          <a:ext cx="120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0</xdr:row>
      <xdr:rowOff>0</xdr:rowOff>
    </xdr:from>
    <xdr:to>
      <xdr:col>1</xdr:col>
      <xdr:colOff>2009775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0</xdr:row>
      <xdr:rowOff>0</xdr:rowOff>
    </xdr:from>
    <xdr:to>
      <xdr:col>3</xdr:col>
      <xdr:colOff>1000125</xdr:colOff>
      <xdr:row>0</xdr:row>
      <xdr:rowOff>619125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6</xdr:col>
      <xdr:colOff>142875</xdr:colOff>
      <xdr:row>0</xdr:row>
      <xdr:rowOff>619125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0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2</xdr:col>
      <xdr:colOff>85725</xdr:colOff>
      <xdr:row>0</xdr:row>
      <xdr:rowOff>609600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0</xdr:row>
      <xdr:rowOff>0</xdr:rowOff>
    </xdr:from>
    <xdr:to>
      <xdr:col>4</xdr:col>
      <xdr:colOff>1114425</xdr:colOff>
      <xdr:row>1</xdr:row>
      <xdr:rowOff>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1200150</xdr:colOff>
      <xdr:row>0</xdr:row>
      <xdr:rowOff>0</xdr:rowOff>
    </xdr:from>
    <xdr:to>
      <xdr:col>1</xdr:col>
      <xdr:colOff>2105025</xdr:colOff>
      <xdr:row>0</xdr:row>
      <xdr:rowOff>609600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0</xdr:row>
      <xdr:rowOff>0</xdr:rowOff>
    </xdr:from>
    <xdr:to>
      <xdr:col>3</xdr:col>
      <xdr:colOff>628650</xdr:colOff>
      <xdr:row>1</xdr:row>
      <xdr:rowOff>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1</xdr:col>
      <xdr:colOff>1057275</xdr:colOff>
      <xdr:row>1</xdr:row>
      <xdr:rowOff>38100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1371600</xdr:colOff>
      <xdr:row>1</xdr:row>
      <xdr:rowOff>0</xdr:rowOff>
    </xdr:to>
    <xdr:pic>
      <xdr:nvPicPr>
        <xdr:cNvPr id="2" name="Imagen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0"/>
          <a:ext cx="1371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1285875</xdr:colOff>
      <xdr:row>0</xdr:row>
      <xdr:rowOff>0</xdr:rowOff>
    </xdr:from>
    <xdr:to>
      <xdr:col>3</xdr:col>
      <xdr:colOff>1390650</xdr:colOff>
      <xdr:row>1</xdr:row>
      <xdr:rowOff>9525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1057275</xdr:colOff>
      <xdr:row>1</xdr:row>
      <xdr:rowOff>28575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1352550</xdr:colOff>
      <xdr:row>0</xdr:row>
      <xdr:rowOff>685800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0"/>
          <a:ext cx="1343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1409700</xdr:colOff>
      <xdr:row>0</xdr:row>
      <xdr:rowOff>0</xdr:rowOff>
    </xdr:from>
    <xdr:to>
      <xdr:col>4</xdr:col>
      <xdr:colOff>114300</xdr:colOff>
      <xdr:row>1</xdr:row>
      <xdr:rowOff>9525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1057275</xdr:colOff>
      <xdr:row>0</xdr:row>
      <xdr:rowOff>685800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4</xdr:col>
      <xdr:colOff>180975</xdr:colOff>
      <xdr:row>1</xdr:row>
      <xdr:rowOff>0</xdr:rowOff>
    </xdr:to>
    <xdr:pic>
      <xdr:nvPicPr>
        <xdr:cNvPr id="2" name="Imagen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tcp\Confecamaras%20CTCP\Ejercicio%20NIIF%20EF%20CTCP%20en%20blan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 prueba 010115"/>
      <sheetName val="Bal prueba 311215"/>
      <sheetName val="Bal prueba 311216"/>
      <sheetName val="ESF"/>
      <sheetName val="ERI"/>
      <sheetName val="Cam pat"/>
      <sheetName val="Ganancias"/>
      <sheetName val="Flujos indirecto"/>
      <sheetName val="Flujo directo"/>
      <sheetName val="Hoja flujos"/>
      <sheetName val="Efectivo"/>
      <sheetName val="Inversiones"/>
      <sheetName val="Deudores"/>
      <sheetName val="Inventarios"/>
      <sheetName val="PPYE"/>
      <sheetName val="Otros activos"/>
      <sheetName val="Leasing"/>
      <sheetName val="Pasivos"/>
      <sheetName val="Laboral"/>
      <sheetName val="Imp diferidos"/>
      <sheetName val="Patrimonio"/>
    </sheetNames>
    <sheetDataSet>
      <sheetData sheetId="11">
        <row r="30">
          <cell r="D30">
            <v>920000000</v>
          </cell>
        </row>
        <row r="95">
          <cell r="D95">
            <v>501451.4880833657</v>
          </cell>
        </row>
        <row r="99">
          <cell r="C99">
            <v>121200000</v>
          </cell>
        </row>
      </sheetData>
      <sheetData sheetId="12">
        <row r="19">
          <cell r="L19">
            <v>10833333.333333334</v>
          </cell>
        </row>
        <row r="23">
          <cell r="D23">
            <v>258456789</v>
          </cell>
          <cell r="E23">
            <v>312000000</v>
          </cell>
        </row>
        <row r="24">
          <cell r="D24">
            <v>321457850</v>
          </cell>
        </row>
        <row r="37">
          <cell r="E37">
            <v>19174000000</v>
          </cell>
        </row>
        <row r="39">
          <cell r="E39">
            <v>6523000000</v>
          </cell>
        </row>
        <row r="40">
          <cell r="E40">
            <v>9526000000</v>
          </cell>
        </row>
        <row r="41">
          <cell r="E41">
            <v>3125000000</v>
          </cell>
        </row>
        <row r="46">
          <cell r="E46">
            <v>8628300000</v>
          </cell>
        </row>
        <row r="56">
          <cell r="E56">
            <v>60870683.579679206</v>
          </cell>
        </row>
        <row r="72">
          <cell r="L72">
            <v>52650290</v>
          </cell>
        </row>
        <row r="96">
          <cell r="D96">
            <v>127526000</v>
          </cell>
          <cell r="E96">
            <v>135000000</v>
          </cell>
        </row>
        <row r="115">
          <cell r="C115">
            <v>18750000</v>
          </cell>
        </row>
        <row r="129">
          <cell r="D129">
            <v>3532079.3766739643</v>
          </cell>
        </row>
        <row r="130">
          <cell r="E130">
            <v>3532079.3766739643</v>
          </cell>
        </row>
      </sheetData>
      <sheetData sheetId="13">
        <row r="37">
          <cell r="D37">
            <v>3616492172</v>
          </cell>
        </row>
        <row r="38">
          <cell r="E38">
            <v>3616492172</v>
          </cell>
        </row>
        <row r="40">
          <cell r="D40">
            <v>2500000000</v>
          </cell>
        </row>
        <row r="41">
          <cell r="D41">
            <v>6070799998</v>
          </cell>
        </row>
        <row r="42">
          <cell r="D42">
            <v>86284890</v>
          </cell>
        </row>
        <row r="43">
          <cell r="E43">
            <v>8657084888</v>
          </cell>
        </row>
        <row r="78">
          <cell r="E78">
            <v>650000000</v>
          </cell>
        </row>
        <row r="79">
          <cell r="D79">
            <v>650000000</v>
          </cell>
        </row>
        <row r="81">
          <cell r="D81">
            <v>320000000</v>
          </cell>
        </row>
        <row r="85">
          <cell r="E85">
            <v>398000000</v>
          </cell>
        </row>
        <row r="87">
          <cell r="E87">
            <v>34500000</v>
          </cell>
        </row>
      </sheetData>
      <sheetData sheetId="14">
        <row r="17">
          <cell r="J17">
            <v>406462186.99739504</v>
          </cell>
        </row>
        <row r="20">
          <cell r="G20">
            <v>700000000</v>
          </cell>
        </row>
        <row r="22">
          <cell r="G22">
            <v>750000000</v>
          </cell>
        </row>
      </sheetData>
      <sheetData sheetId="15">
        <row r="9">
          <cell r="D9">
            <v>196000000</v>
          </cell>
        </row>
        <row r="16">
          <cell r="D16">
            <v>12500000</v>
          </cell>
        </row>
        <row r="17">
          <cell r="D17">
            <v>65000000</v>
          </cell>
        </row>
        <row r="18">
          <cell r="D18">
            <v>85000000</v>
          </cell>
        </row>
        <row r="19">
          <cell r="D19">
            <v>55000000</v>
          </cell>
        </row>
      </sheetData>
      <sheetData sheetId="16">
        <row r="54">
          <cell r="F54">
            <v>150000000</v>
          </cell>
        </row>
        <row r="55">
          <cell r="F55">
            <v>8813205.083387688</v>
          </cell>
        </row>
        <row r="184">
          <cell r="F184">
            <v>150000000</v>
          </cell>
        </row>
        <row r="185">
          <cell r="F185">
            <v>80611229.55829178</v>
          </cell>
        </row>
      </sheetData>
      <sheetData sheetId="17">
        <row r="13">
          <cell r="K13">
            <v>608064296.0615733</v>
          </cell>
          <cell r="L13">
            <v>190911662.26504412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ovarong@yahoo.com" TargetMode="External" /><Relationship Id="rId2" Type="http://schemas.openxmlformats.org/officeDocument/2006/relationships/hyperlink" Target="http://www.consultorcontable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eovarong@yahoo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5"/>
  <sheetViews>
    <sheetView showGridLines="0" zoomScale="160" zoomScaleNormal="160" zoomScalePageLayoutView="0" workbookViewId="0" topLeftCell="J35">
      <selection activeCell="L43" sqref="L43"/>
    </sheetView>
  </sheetViews>
  <sheetFormatPr defaultColWidth="11.421875" defaultRowHeight="12.75"/>
  <cols>
    <col min="1" max="1" width="3.421875" style="0" customWidth="1"/>
    <col min="2" max="2" width="27.140625" style="0" customWidth="1"/>
  </cols>
  <sheetData>
    <row r="1" ht="12.75">
      <c r="M1" s="129" t="s">
        <v>628</v>
      </c>
    </row>
    <row r="2" spans="12:13" ht="12.75">
      <c r="L2" t="s">
        <v>446</v>
      </c>
      <c r="M2" s="129" t="s">
        <v>629</v>
      </c>
    </row>
    <row r="3" spans="2:3" ht="12.75">
      <c r="B3" t="s">
        <v>30</v>
      </c>
      <c r="C3" t="s">
        <v>335</v>
      </c>
    </row>
    <row r="4" spans="2:24" ht="12.75">
      <c r="B4" t="s">
        <v>336</v>
      </c>
      <c r="C4" t="s">
        <v>335</v>
      </c>
      <c r="M4" t="s">
        <v>450</v>
      </c>
      <c r="P4" t="s">
        <v>451</v>
      </c>
      <c r="W4" s="138" t="s">
        <v>453</v>
      </c>
      <c r="X4" s="165">
        <v>0.95</v>
      </c>
    </row>
    <row r="5" spans="2:23" ht="12.75">
      <c r="B5" t="s">
        <v>337</v>
      </c>
      <c r="C5" t="s">
        <v>338</v>
      </c>
      <c r="M5" t="s">
        <v>343</v>
      </c>
      <c r="P5" t="s">
        <v>344</v>
      </c>
      <c r="W5" s="138"/>
    </row>
    <row r="6" spans="2:23" ht="12.75">
      <c r="B6" t="s">
        <v>25</v>
      </c>
      <c r="C6" t="s">
        <v>339</v>
      </c>
      <c r="K6" s="166" t="s">
        <v>447</v>
      </c>
      <c r="L6" s="166"/>
      <c r="M6" t="s">
        <v>346</v>
      </c>
      <c r="P6" t="s">
        <v>345</v>
      </c>
      <c r="W6" s="138"/>
    </row>
    <row r="7" spans="2:25" ht="12.75">
      <c r="B7" t="s">
        <v>242</v>
      </c>
      <c r="C7" t="s">
        <v>340</v>
      </c>
      <c r="K7" t="s">
        <v>449</v>
      </c>
      <c r="M7" t="s">
        <v>428</v>
      </c>
      <c r="P7" t="s">
        <v>452</v>
      </c>
      <c r="W7" s="138" t="s">
        <v>454</v>
      </c>
      <c r="X7" s="165">
        <v>0.05</v>
      </c>
      <c r="Y7" t="s">
        <v>455</v>
      </c>
    </row>
    <row r="8" spans="3:13" ht="12.75">
      <c r="C8" t="s">
        <v>341</v>
      </c>
      <c r="M8" t="s">
        <v>456</v>
      </c>
    </row>
    <row r="9" spans="2:16" ht="12.75">
      <c r="B9" t="s">
        <v>275</v>
      </c>
      <c r="C9" t="s">
        <v>342</v>
      </c>
      <c r="P9" t="s">
        <v>457</v>
      </c>
    </row>
    <row r="10" spans="2:16" ht="12.75">
      <c r="B10" t="s">
        <v>343</v>
      </c>
      <c r="C10" t="s">
        <v>344</v>
      </c>
      <c r="M10" s="166" t="s">
        <v>242</v>
      </c>
      <c r="N10" s="166"/>
      <c r="P10" t="s">
        <v>736</v>
      </c>
    </row>
    <row r="11" spans="2:3" ht="12.75">
      <c r="B11" s="129" t="s">
        <v>346</v>
      </c>
      <c r="C11" s="129" t="s">
        <v>345</v>
      </c>
    </row>
    <row r="12" spans="2:5" ht="12.75">
      <c r="B12" s="129" t="s">
        <v>126</v>
      </c>
      <c r="C12" s="129" t="s">
        <v>347</v>
      </c>
      <c r="E12" s="129" t="s">
        <v>348</v>
      </c>
    </row>
    <row r="13" spans="3:16" ht="12.75">
      <c r="C13" s="129" t="s">
        <v>0</v>
      </c>
      <c r="E13" s="129" t="s">
        <v>349</v>
      </c>
      <c r="M13" t="s">
        <v>98</v>
      </c>
      <c r="P13" t="s">
        <v>458</v>
      </c>
    </row>
    <row r="14" spans="3:16" ht="12.75">
      <c r="C14" s="129" t="s">
        <v>0</v>
      </c>
      <c r="E14" s="129" t="s">
        <v>350</v>
      </c>
      <c r="K14" s="166" t="s">
        <v>448</v>
      </c>
      <c r="L14" s="166"/>
      <c r="M14" t="s">
        <v>354</v>
      </c>
      <c r="P14" t="s">
        <v>355</v>
      </c>
    </row>
    <row r="15" spans="2:13" ht="12.75">
      <c r="B15" s="129" t="s">
        <v>351</v>
      </c>
      <c r="C15" s="129" t="s">
        <v>351</v>
      </c>
      <c r="M15" t="s">
        <v>30</v>
      </c>
    </row>
    <row r="16" spans="2:13" ht="12.75">
      <c r="B16" s="129" t="s">
        <v>98</v>
      </c>
      <c r="C16" s="129" t="s">
        <v>352</v>
      </c>
      <c r="M16" t="s">
        <v>99</v>
      </c>
    </row>
    <row r="17" spans="3:13" ht="12.75">
      <c r="C17" s="129" t="s">
        <v>353</v>
      </c>
      <c r="M17" t="s">
        <v>25</v>
      </c>
    </row>
    <row r="18" ht="12.75">
      <c r="M18" t="s">
        <v>338</v>
      </c>
    </row>
    <row r="19" spans="2:13" ht="12.75">
      <c r="B19" s="129" t="s">
        <v>354</v>
      </c>
      <c r="C19" s="129" t="s">
        <v>355</v>
      </c>
      <c r="M19" t="s">
        <v>351</v>
      </c>
    </row>
    <row r="20" spans="3:16" ht="12.75">
      <c r="C20" s="129" t="s">
        <v>356</v>
      </c>
      <c r="M20" t="s">
        <v>126</v>
      </c>
      <c r="P20" t="s">
        <v>459</v>
      </c>
    </row>
    <row r="21" spans="3:14" ht="12.75">
      <c r="C21" s="129" t="s">
        <v>357</v>
      </c>
      <c r="M21" s="166" t="s">
        <v>275</v>
      </c>
      <c r="N21" s="166"/>
    </row>
    <row r="22" ht="12.75">
      <c r="C22" s="129" t="s">
        <v>358</v>
      </c>
    </row>
    <row r="24" ht="12.75">
      <c r="B24" s="129" t="s">
        <v>359</v>
      </c>
    </row>
    <row r="25" spans="3:11" ht="12.75">
      <c r="C25" s="129" t="s">
        <v>360</v>
      </c>
      <c r="K25" s="130" t="s">
        <v>32</v>
      </c>
    </row>
    <row r="26" spans="3:13" ht="12.75">
      <c r="C26" s="129" t="s">
        <v>361</v>
      </c>
      <c r="M26" s="129" t="s">
        <v>462</v>
      </c>
    </row>
    <row r="27" spans="3:16" ht="12.75">
      <c r="C27" s="129" t="s">
        <v>362</v>
      </c>
      <c r="P27" s="129" t="s">
        <v>463</v>
      </c>
    </row>
    <row r="28" spans="3:16" ht="12.75">
      <c r="C28" s="129" t="s">
        <v>363</v>
      </c>
      <c r="K28" s="166" t="s">
        <v>460</v>
      </c>
      <c r="M28" s="166" t="s">
        <v>389</v>
      </c>
      <c r="P28" s="129" t="s">
        <v>464</v>
      </c>
    </row>
    <row r="29" spans="3:13" ht="12.75">
      <c r="C29" s="129" t="s">
        <v>364</v>
      </c>
      <c r="M29" s="129" t="s">
        <v>468</v>
      </c>
    </row>
    <row r="30" ht="12.75">
      <c r="C30" s="129" t="s">
        <v>365</v>
      </c>
    </row>
    <row r="31" ht="12.75">
      <c r="C31" s="129" t="s">
        <v>366</v>
      </c>
    </row>
    <row r="33" spans="2:16" ht="12.75">
      <c r="B33" s="129" t="s">
        <v>367</v>
      </c>
      <c r="C33" s="129" t="s">
        <v>368</v>
      </c>
      <c r="M33" s="129" t="s">
        <v>286</v>
      </c>
      <c r="N33" s="129"/>
      <c r="O33" s="129"/>
      <c r="P33" s="129" t="s">
        <v>465</v>
      </c>
    </row>
    <row r="34" spans="3:16" ht="12.75">
      <c r="C34" s="129" t="s">
        <v>369</v>
      </c>
      <c r="M34" s="129" t="s">
        <v>287</v>
      </c>
      <c r="N34" s="129"/>
      <c r="O34" s="129"/>
      <c r="P34" s="129" t="s">
        <v>466</v>
      </c>
    </row>
    <row r="35" spans="3:16" ht="12.75">
      <c r="C35" s="129" t="s">
        <v>322</v>
      </c>
      <c r="K35" s="166" t="s">
        <v>461</v>
      </c>
      <c r="M35" s="129" t="s">
        <v>379</v>
      </c>
      <c r="N35" s="129"/>
      <c r="O35" s="129"/>
      <c r="P35" s="129"/>
    </row>
    <row r="36" spans="3:16" ht="12.75">
      <c r="C36" s="129" t="s">
        <v>370</v>
      </c>
      <c r="M36" s="166" t="s">
        <v>392</v>
      </c>
      <c r="N36" s="129"/>
      <c r="O36" s="129"/>
      <c r="P36" s="129" t="s">
        <v>467</v>
      </c>
    </row>
    <row r="39" ht="12.75">
      <c r="B39" s="129" t="s">
        <v>371</v>
      </c>
    </row>
    <row r="40" spans="3:13" ht="12.75">
      <c r="C40" s="129" t="s">
        <v>86</v>
      </c>
      <c r="K40" s="130" t="s">
        <v>36</v>
      </c>
      <c r="M40" s="129" t="s">
        <v>469</v>
      </c>
    </row>
    <row r="41" spans="3:13" ht="12.75">
      <c r="C41" s="129" t="s">
        <v>372</v>
      </c>
      <c r="M41" s="129" t="s">
        <v>470</v>
      </c>
    </row>
    <row r="42" spans="3:13" ht="12.75">
      <c r="C42" s="129" t="s">
        <v>373</v>
      </c>
      <c r="M42" s="129" t="s">
        <v>471</v>
      </c>
    </row>
    <row r="43" spans="3:16" ht="12.75">
      <c r="C43" s="129" t="s">
        <v>374</v>
      </c>
      <c r="M43" s="129" t="s">
        <v>472</v>
      </c>
      <c r="P43" s="129" t="s">
        <v>473</v>
      </c>
    </row>
    <row r="44" spans="3:16" ht="12.75">
      <c r="C44" s="129" t="s">
        <v>375</v>
      </c>
      <c r="M44" s="129" t="s">
        <v>413</v>
      </c>
      <c r="P44" s="129" t="s">
        <v>474</v>
      </c>
    </row>
    <row r="45" spans="3:13" ht="12.75">
      <c r="C45" s="129" t="s">
        <v>376</v>
      </c>
      <c r="M45" s="129" t="s">
        <v>475</v>
      </c>
    </row>
    <row r="46" spans="3:13" ht="12.75">
      <c r="C46" s="129" t="s">
        <v>377</v>
      </c>
      <c r="M46" s="129" t="s">
        <v>419</v>
      </c>
    </row>
    <row r="47" ht="12.75">
      <c r="C47" s="129" t="s">
        <v>378</v>
      </c>
    </row>
    <row r="49" ht="12.75">
      <c r="K49" s="130" t="s">
        <v>476</v>
      </c>
    </row>
    <row r="50" spans="2:7" ht="12.75">
      <c r="B50" s="129" t="s">
        <v>379</v>
      </c>
      <c r="C50" s="129" t="s">
        <v>380</v>
      </c>
      <c r="G50" s="129" t="s">
        <v>381</v>
      </c>
    </row>
    <row r="51" spans="3:7" ht="12.75">
      <c r="C51" s="129" t="s">
        <v>384</v>
      </c>
      <c r="G51" s="129" t="s">
        <v>382</v>
      </c>
    </row>
    <row r="52" spans="3:13" ht="12.75">
      <c r="C52" s="129" t="s">
        <v>385</v>
      </c>
      <c r="G52" s="129" t="s">
        <v>383</v>
      </c>
      <c r="M52" s="129" t="s">
        <v>477</v>
      </c>
    </row>
    <row r="53" spans="3:13" ht="12.75">
      <c r="C53" s="129" t="s">
        <v>386</v>
      </c>
      <c r="M53" s="129" t="s">
        <v>478</v>
      </c>
    </row>
    <row r="54" spans="3:13" ht="12.75">
      <c r="C54" s="129" t="s">
        <v>387</v>
      </c>
      <c r="M54" s="130" t="s">
        <v>479</v>
      </c>
    </row>
    <row r="55" spans="3:13" ht="12.75">
      <c r="C55" s="129" t="s">
        <v>388</v>
      </c>
      <c r="M55" s="129" t="s">
        <v>427</v>
      </c>
    </row>
    <row r="56" ht="12.75">
      <c r="M56" s="129" t="s">
        <v>480</v>
      </c>
    </row>
    <row r="57" spans="2:13" ht="12.75">
      <c r="B57" s="129" t="s">
        <v>389</v>
      </c>
      <c r="C57" s="129" t="s">
        <v>390</v>
      </c>
      <c r="M57" s="129" t="s">
        <v>482</v>
      </c>
    </row>
    <row r="58" spans="3:13" ht="12.75">
      <c r="C58" s="129" t="s">
        <v>391</v>
      </c>
      <c r="M58" s="129" t="s">
        <v>481</v>
      </c>
    </row>
    <row r="59" ht="12.75">
      <c r="M59" s="130" t="s">
        <v>483</v>
      </c>
    </row>
    <row r="60" spans="2:13" ht="12.75">
      <c r="B60" s="129" t="s">
        <v>392</v>
      </c>
      <c r="C60" s="129" t="s">
        <v>393</v>
      </c>
      <c r="M60" s="129" t="s">
        <v>279</v>
      </c>
    </row>
    <row r="61" spans="3:13" ht="12.75">
      <c r="C61" s="129" t="s">
        <v>394</v>
      </c>
      <c r="M61" s="129" t="s">
        <v>490</v>
      </c>
    </row>
    <row r="62" ht="12.75">
      <c r="M62" s="130" t="s">
        <v>491</v>
      </c>
    </row>
    <row r="63" spans="2:13" ht="12.75">
      <c r="B63" s="129" t="s">
        <v>286</v>
      </c>
      <c r="C63" s="129" t="s">
        <v>395</v>
      </c>
      <c r="J63" s="129" t="s">
        <v>484</v>
      </c>
      <c r="M63" s="129" t="s">
        <v>485</v>
      </c>
    </row>
    <row r="64" spans="3:13" ht="12.75">
      <c r="C64" s="129" t="s">
        <v>270</v>
      </c>
      <c r="M64" s="129" t="s">
        <v>486</v>
      </c>
    </row>
    <row r="65" spans="3:13" ht="12.75">
      <c r="C65" s="129" t="s">
        <v>271</v>
      </c>
      <c r="M65" s="129" t="s">
        <v>487</v>
      </c>
    </row>
    <row r="66" spans="3:13" ht="12.75">
      <c r="C66" s="129" t="s">
        <v>396</v>
      </c>
      <c r="M66" s="129" t="s">
        <v>488</v>
      </c>
    </row>
    <row r="67" spans="3:13" ht="12.75">
      <c r="C67" s="129" t="s">
        <v>397</v>
      </c>
      <c r="M67" s="130" t="s">
        <v>489</v>
      </c>
    </row>
    <row r="68" ht="12.75">
      <c r="M68" s="129" t="s">
        <v>492</v>
      </c>
    </row>
    <row r="69" spans="2:13" ht="12.75">
      <c r="B69" s="129" t="s">
        <v>287</v>
      </c>
      <c r="C69" s="129" t="s">
        <v>398</v>
      </c>
      <c r="K69" s="130" t="s">
        <v>494</v>
      </c>
      <c r="M69" s="130" t="s">
        <v>493</v>
      </c>
    </row>
    <row r="70" ht="12.75">
      <c r="M70" s="129" t="s">
        <v>495</v>
      </c>
    </row>
    <row r="71" spans="10:13" ht="12.75">
      <c r="J71" s="168"/>
      <c r="K71" s="168"/>
      <c r="L71" s="168"/>
      <c r="M71" s="130" t="s">
        <v>496</v>
      </c>
    </row>
    <row r="72" spans="2:12" ht="12.75">
      <c r="B72" s="129" t="s">
        <v>399</v>
      </c>
      <c r="C72" s="129" t="s">
        <v>400</v>
      </c>
      <c r="J72" s="168"/>
      <c r="K72" s="168"/>
      <c r="L72" s="168"/>
    </row>
    <row r="73" spans="2:12" ht="12.75">
      <c r="B73" s="129" t="s">
        <v>401</v>
      </c>
      <c r="C73" s="129" t="s">
        <v>402</v>
      </c>
      <c r="J73" s="168"/>
      <c r="K73" s="168"/>
      <c r="L73" s="168"/>
    </row>
    <row r="74" spans="3:15" ht="12.75">
      <c r="C74" s="129" t="s">
        <v>403</v>
      </c>
      <c r="J74" s="168"/>
      <c r="K74" s="168" t="s">
        <v>497</v>
      </c>
      <c r="L74" s="168"/>
      <c r="M74" s="167" t="s">
        <v>498</v>
      </c>
      <c r="O74" s="167" t="s">
        <v>499</v>
      </c>
    </row>
    <row r="75" spans="3:15" ht="12.75">
      <c r="C75" s="129" t="s">
        <v>404</v>
      </c>
      <c r="J75" s="168"/>
      <c r="K75" s="168"/>
      <c r="L75" s="168"/>
      <c r="M75" s="138"/>
      <c r="O75" s="138"/>
    </row>
    <row r="76" spans="10:15" ht="12.75">
      <c r="J76" s="168"/>
      <c r="K76" s="168"/>
      <c r="L76" s="168"/>
      <c r="M76" s="138"/>
      <c r="O76" s="138"/>
    </row>
    <row r="77" spans="2:15" ht="12.75">
      <c r="B77" s="129" t="s">
        <v>405</v>
      </c>
      <c r="C77" s="129" t="s">
        <v>406</v>
      </c>
      <c r="J77" s="168"/>
      <c r="K77" s="168"/>
      <c r="L77" s="168"/>
      <c r="M77" s="138"/>
      <c r="O77" s="138"/>
    </row>
    <row r="78" spans="10:15" ht="12.75">
      <c r="J78" s="168"/>
      <c r="K78" s="168"/>
      <c r="L78" s="168"/>
      <c r="M78" s="138"/>
      <c r="O78" s="138"/>
    </row>
    <row r="79" spans="2:12" ht="12.75">
      <c r="B79" s="129" t="s">
        <v>407</v>
      </c>
      <c r="C79" s="129" t="s">
        <v>408</v>
      </c>
      <c r="J79" s="168"/>
      <c r="K79" s="168"/>
      <c r="L79" s="168"/>
    </row>
    <row r="80" spans="10:12" ht="12.75">
      <c r="J80" s="168"/>
      <c r="K80" s="168"/>
      <c r="L80" s="168"/>
    </row>
    <row r="81" ht="12.75">
      <c r="B81" s="129" t="s">
        <v>409</v>
      </c>
    </row>
    <row r="82" ht="12.75">
      <c r="C82" s="129" t="s">
        <v>410</v>
      </c>
    </row>
    <row r="83" spans="3:13" ht="12.75">
      <c r="C83" s="129" t="s">
        <v>411</v>
      </c>
      <c r="M83" s="130" t="s">
        <v>414</v>
      </c>
    </row>
    <row r="84" ht="12.75">
      <c r="C84" s="129" t="s">
        <v>412</v>
      </c>
    </row>
    <row r="85" ht="12.75">
      <c r="M85" s="130" t="s">
        <v>496</v>
      </c>
    </row>
    <row r="86" spans="2:5" ht="12.75">
      <c r="B86" s="129" t="s">
        <v>413</v>
      </c>
      <c r="C86" s="129" t="s">
        <v>414</v>
      </c>
      <c r="E86" s="129" t="s">
        <v>418</v>
      </c>
    </row>
    <row r="87" spans="5:16" ht="12.75">
      <c r="E87" s="129" t="s">
        <v>415</v>
      </c>
      <c r="M87" s="129" t="s">
        <v>500</v>
      </c>
      <c r="P87" s="129" t="s">
        <v>501</v>
      </c>
    </row>
    <row r="88" spans="5:13" ht="12.75">
      <c r="E88" s="129" t="s">
        <v>416</v>
      </c>
      <c r="M88" s="129" t="s">
        <v>502</v>
      </c>
    </row>
    <row r="89" spans="5:13" ht="12.75">
      <c r="E89" s="129" t="s">
        <v>417</v>
      </c>
      <c r="M89" s="129" t="s">
        <v>503</v>
      </c>
    </row>
    <row r="90" ht="12.75">
      <c r="M90" s="129" t="s">
        <v>505</v>
      </c>
    </row>
    <row r="91" spans="2:13" ht="12.75">
      <c r="B91" s="129" t="s">
        <v>419</v>
      </c>
      <c r="C91" s="129" t="s">
        <v>420</v>
      </c>
      <c r="M91" s="129" t="s">
        <v>504</v>
      </c>
    </row>
    <row r="92" spans="13:15" ht="12.75">
      <c r="M92" s="130" t="s">
        <v>506</v>
      </c>
      <c r="N92" s="130"/>
      <c r="O92" s="130"/>
    </row>
    <row r="93" s="138" customFormat="1" ht="12.75"/>
    <row r="94" ht="12.75">
      <c r="B94" s="129" t="s">
        <v>0</v>
      </c>
    </row>
    <row r="96" spans="2:13" ht="12.75">
      <c r="B96" s="129" t="s">
        <v>421</v>
      </c>
      <c r="M96" s="129" t="s">
        <v>507</v>
      </c>
    </row>
    <row r="97" spans="3:13" ht="12.75">
      <c r="C97" s="129" t="s">
        <v>422</v>
      </c>
      <c r="M97" s="129" t="s">
        <v>508</v>
      </c>
    </row>
    <row r="98" spans="3:13" ht="12.75">
      <c r="C98" s="129" t="s">
        <v>423</v>
      </c>
      <c r="M98" s="129" t="s">
        <v>509</v>
      </c>
    </row>
    <row r="99" spans="3:13" ht="12.75">
      <c r="C99" s="129" t="s">
        <v>424</v>
      </c>
      <c r="M99" s="129" t="s">
        <v>510</v>
      </c>
    </row>
    <row r="100" spans="3:13" ht="12.75">
      <c r="C100" s="129" t="s">
        <v>425</v>
      </c>
      <c r="M100" s="129" t="s">
        <v>511</v>
      </c>
    </row>
    <row r="102" spans="2:3" ht="12.75">
      <c r="B102" s="129" t="s">
        <v>426</v>
      </c>
      <c r="C102" s="129"/>
    </row>
    <row r="105" ht="12.75">
      <c r="B105" s="129" t="s">
        <v>427</v>
      </c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3"/>
  <sheetViews>
    <sheetView showGridLines="0" zoomScale="130" zoomScaleNormal="130" zoomScalePageLayoutView="0" workbookViewId="0" topLeftCell="A22">
      <selection activeCell="F23" sqref="F23"/>
    </sheetView>
  </sheetViews>
  <sheetFormatPr defaultColWidth="11.421875" defaultRowHeight="12.75"/>
  <cols>
    <col min="1" max="1" width="11.421875" style="2" customWidth="1"/>
    <col min="2" max="2" width="22.57421875" style="2" customWidth="1"/>
    <col min="3" max="9" width="18.140625" style="2" customWidth="1"/>
    <col min="10" max="11" width="18.421875" style="2" customWidth="1"/>
    <col min="12" max="12" width="20.7109375" style="2" customWidth="1"/>
    <col min="13" max="13" width="15.00390625" style="2" customWidth="1"/>
    <col min="14" max="15" width="11.421875" style="2" customWidth="1"/>
    <col min="16" max="16" width="21.140625" style="2" customWidth="1"/>
    <col min="17" max="17" width="15.57421875" style="2" customWidth="1"/>
    <col min="18" max="18" width="14.421875" style="2" bestFit="1" customWidth="1"/>
    <col min="19" max="19" width="18.8515625" style="13" customWidth="1"/>
    <col min="20" max="20" width="18.7109375" style="2" bestFit="1" customWidth="1"/>
    <col min="21" max="21" width="23.57421875" style="2" customWidth="1"/>
    <col min="22" max="22" width="11.421875" style="2" customWidth="1"/>
    <col min="23" max="23" width="18.7109375" style="2" bestFit="1" customWidth="1"/>
    <col min="24" max="24" width="16.8515625" style="2" bestFit="1" customWidth="1"/>
    <col min="25" max="25" width="14.140625" style="2" bestFit="1" customWidth="1"/>
    <col min="26" max="26" width="11.421875" style="2" customWidth="1"/>
    <col min="27" max="27" width="15.7109375" style="2" bestFit="1" customWidth="1"/>
    <col min="28" max="31" width="11.421875" style="2" customWidth="1"/>
    <col min="32" max="33" width="15.7109375" style="2" bestFit="1" customWidth="1"/>
    <col min="34" max="16384" width="11.421875" style="2" customWidth="1"/>
  </cols>
  <sheetData>
    <row r="1" spans="1:19" s="79" customFormat="1" ht="55.5" customHeight="1">
      <c r="A1" s="81" t="s">
        <v>170</v>
      </c>
      <c r="B1" s="80"/>
      <c r="C1" s="81" t="s">
        <v>171</v>
      </c>
      <c r="S1" s="116"/>
    </row>
    <row r="2" spans="5:21" ht="15">
      <c r="E2" s="2" t="s">
        <v>659</v>
      </c>
      <c r="G2" s="2" t="s">
        <v>660</v>
      </c>
      <c r="H2" s="2" t="s">
        <v>661</v>
      </c>
      <c r="I2" s="2" t="s">
        <v>657</v>
      </c>
      <c r="Q2" s="1" t="s">
        <v>665</v>
      </c>
      <c r="R2" s="2" t="s">
        <v>668</v>
      </c>
      <c r="U2" s="13"/>
    </row>
    <row r="3" spans="9:33" ht="14.25">
      <c r="I3" s="2" t="s">
        <v>662</v>
      </c>
      <c r="J3" s="2" t="s">
        <v>663</v>
      </c>
      <c r="K3" s="2" t="s">
        <v>335</v>
      </c>
      <c r="Q3" s="2" t="s">
        <v>666</v>
      </c>
      <c r="AG3" s="9">
        <f>+AA4</f>
        <v>0</v>
      </c>
    </row>
    <row r="4" spans="1:17" ht="15">
      <c r="A4" s="1" t="s">
        <v>190</v>
      </c>
      <c r="E4" s="2" t="s">
        <v>664</v>
      </c>
      <c r="Q4" s="2" t="s">
        <v>667</v>
      </c>
    </row>
    <row r="5" spans="1:19" ht="45">
      <c r="A5" s="69" t="s">
        <v>147</v>
      </c>
      <c r="B5" s="83" t="s">
        <v>1</v>
      </c>
      <c r="C5" s="83" t="s">
        <v>239</v>
      </c>
      <c r="D5" s="83" t="s">
        <v>191</v>
      </c>
      <c r="E5" s="83" t="s">
        <v>80</v>
      </c>
      <c r="F5" s="83" t="s">
        <v>192</v>
      </c>
      <c r="G5" s="83" t="s">
        <v>240</v>
      </c>
      <c r="H5" s="83" t="s">
        <v>165</v>
      </c>
      <c r="I5" s="83" t="s">
        <v>81</v>
      </c>
      <c r="J5" s="83" t="s">
        <v>248</v>
      </c>
      <c r="K5" s="83" t="s">
        <v>82</v>
      </c>
      <c r="L5" s="83" t="s">
        <v>246</v>
      </c>
      <c r="M5" s="83" t="s">
        <v>247</v>
      </c>
      <c r="N5" s="83" t="s">
        <v>431</v>
      </c>
      <c r="S5" s="2"/>
    </row>
    <row r="6" spans="1:19" ht="28.5">
      <c r="A6" s="5">
        <v>150405</v>
      </c>
      <c r="B6" s="20" t="s">
        <v>567</v>
      </c>
      <c r="C6" s="6">
        <v>650000000</v>
      </c>
      <c r="D6" s="6">
        <v>0</v>
      </c>
      <c r="E6" s="6">
        <v>1200000000</v>
      </c>
      <c r="F6" s="6">
        <f aca="true" t="shared" si="0" ref="F6:F14">+C6-D6+E6</f>
        <v>1850000000</v>
      </c>
      <c r="G6" s="6">
        <v>1850000000</v>
      </c>
      <c r="H6" s="125">
        <f>+G6</f>
        <v>1850000000</v>
      </c>
      <c r="I6" s="6">
        <f aca="true" t="shared" si="1" ref="I6:I14">+H6-F6</f>
        <v>0</v>
      </c>
      <c r="J6" s="6" t="s">
        <v>20</v>
      </c>
      <c r="K6" s="6" t="s">
        <v>20</v>
      </c>
      <c r="L6" s="6"/>
      <c r="M6" s="5"/>
      <c r="S6" s="2"/>
    </row>
    <row r="7" spans="1:13" s="16" customFormat="1" ht="28.5">
      <c r="A7" s="15">
        <v>150405</v>
      </c>
      <c r="B7" s="192" t="s">
        <v>235</v>
      </c>
      <c r="C7" s="125">
        <v>350000000</v>
      </c>
      <c r="D7" s="125"/>
      <c r="E7" s="125">
        <v>850000000</v>
      </c>
      <c r="F7" s="125">
        <f t="shared" si="0"/>
        <v>1200000000</v>
      </c>
      <c r="G7" s="125">
        <v>1200000000</v>
      </c>
      <c r="H7" s="125">
        <f>+G7</f>
        <v>1200000000</v>
      </c>
      <c r="I7" s="6">
        <f t="shared" si="1"/>
        <v>0</v>
      </c>
      <c r="J7" s="6" t="s">
        <v>20</v>
      </c>
      <c r="K7" s="6" t="s">
        <v>20</v>
      </c>
      <c r="L7" s="6"/>
      <c r="M7" s="7"/>
    </row>
    <row r="8" spans="1:33" s="16" customFormat="1" ht="28.5">
      <c r="A8" s="7">
        <v>150405</v>
      </c>
      <c r="B8" s="20" t="s">
        <v>568</v>
      </c>
      <c r="C8" s="6">
        <v>550000000</v>
      </c>
      <c r="D8" s="6"/>
      <c r="E8" s="6">
        <v>250000000</v>
      </c>
      <c r="F8" s="6">
        <f t="shared" si="0"/>
        <v>800000000</v>
      </c>
      <c r="G8" s="6">
        <v>800000000</v>
      </c>
      <c r="H8" s="125">
        <f>+G8</f>
        <v>800000000</v>
      </c>
      <c r="I8" s="6">
        <f t="shared" si="1"/>
        <v>0</v>
      </c>
      <c r="J8" s="6"/>
      <c r="K8" s="6"/>
      <c r="L8" s="6"/>
      <c r="M8" s="7"/>
      <c r="S8" s="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1" ht="28.5">
      <c r="A9" s="5">
        <v>151605</v>
      </c>
      <c r="B9" s="20" t="s">
        <v>236</v>
      </c>
      <c r="C9" s="6">
        <v>2445000000</v>
      </c>
      <c r="D9" s="6">
        <f>+C9/20*12</f>
        <v>1467000000</v>
      </c>
      <c r="E9" s="6">
        <v>2622000000</v>
      </c>
      <c r="F9" s="6">
        <f t="shared" si="0"/>
        <v>3600000000</v>
      </c>
      <c r="G9" s="6" t="s">
        <v>272</v>
      </c>
      <c r="H9" s="125">
        <f>+P9-S9</f>
        <v>3552000000</v>
      </c>
      <c r="I9" s="6">
        <f t="shared" si="1"/>
        <v>-48000000</v>
      </c>
      <c r="J9" s="6" t="s">
        <v>249</v>
      </c>
      <c r="K9" s="6"/>
      <c r="L9" s="6"/>
      <c r="M9" s="5"/>
      <c r="N9" s="2" t="s">
        <v>432</v>
      </c>
      <c r="P9" s="13">
        <v>3700000000</v>
      </c>
      <c r="Q9" s="12"/>
      <c r="R9" s="2" t="s">
        <v>289</v>
      </c>
      <c r="S9" s="13">
        <f>+P9/50*2</f>
        <v>148000000</v>
      </c>
      <c r="T9" s="2" t="s">
        <v>433</v>
      </c>
      <c r="U9" s="157" t="s">
        <v>434</v>
      </c>
    </row>
    <row r="10" spans="1:21" ht="14.25">
      <c r="A10" s="5">
        <v>1520</v>
      </c>
      <c r="B10" s="20" t="s">
        <v>569</v>
      </c>
      <c r="C10" s="6">
        <v>825265324</v>
      </c>
      <c r="D10" s="6">
        <f>+C10/10*5</f>
        <v>412632662</v>
      </c>
      <c r="E10" s="6">
        <v>0</v>
      </c>
      <c r="F10" s="6">
        <f t="shared" si="0"/>
        <v>412632662</v>
      </c>
      <c r="G10" s="6" t="s">
        <v>272</v>
      </c>
      <c r="H10" s="125">
        <f>+Q10-S10</f>
        <v>436363636.3636363</v>
      </c>
      <c r="I10" s="6">
        <f t="shared" si="1"/>
        <v>23730974.363636315</v>
      </c>
      <c r="J10" s="6" t="s">
        <v>250</v>
      </c>
      <c r="K10" s="6">
        <v>0</v>
      </c>
      <c r="L10" s="6">
        <v>25265324</v>
      </c>
      <c r="M10" s="5" t="s">
        <v>252</v>
      </c>
      <c r="N10" s="2" t="s">
        <v>274</v>
      </c>
      <c r="P10" s="2" t="s">
        <v>154</v>
      </c>
      <c r="Q10" s="12">
        <f>+C10-L10</f>
        <v>800000000</v>
      </c>
      <c r="R10" s="2" t="s">
        <v>289</v>
      </c>
      <c r="S10" s="13">
        <f>+Q10/11*5</f>
        <v>363636363.6363637</v>
      </c>
      <c r="T10" s="13" t="s">
        <v>0</v>
      </c>
      <c r="U10" s="2" t="s">
        <v>248</v>
      </c>
    </row>
    <row r="11" spans="1:19" ht="14.25">
      <c r="A11" s="5">
        <v>152405</v>
      </c>
      <c r="B11" s="20" t="s">
        <v>17</v>
      </c>
      <c r="C11" s="6">
        <v>435050949</v>
      </c>
      <c r="D11" s="6">
        <f>+C11/1.66666666666667</f>
        <v>261030569.39999998</v>
      </c>
      <c r="E11" s="6">
        <v>0</v>
      </c>
      <c r="F11" s="6">
        <f t="shared" si="0"/>
        <v>174020379.60000002</v>
      </c>
      <c r="G11" s="6" t="s">
        <v>272</v>
      </c>
      <c r="H11" s="125">
        <f>+Q11-S11</f>
        <v>195454545.45454544</v>
      </c>
      <c r="I11" s="6">
        <f t="shared" si="1"/>
        <v>21434165.854545414</v>
      </c>
      <c r="J11" s="6" t="s">
        <v>251</v>
      </c>
      <c r="K11" s="6">
        <v>0</v>
      </c>
      <c r="L11" s="6">
        <v>5050949</v>
      </c>
      <c r="M11" s="5" t="s">
        <v>253</v>
      </c>
      <c r="N11" s="2" t="s">
        <v>274</v>
      </c>
      <c r="P11" s="2" t="s">
        <v>154</v>
      </c>
      <c r="Q11" s="12">
        <f>+C11-L11</f>
        <v>430000000</v>
      </c>
      <c r="R11" s="2" t="s">
        <v>289</v>
      </c>
      <c r="S11" s="13">
        <f>+Q11/11*6</f>
        <v>234545454.54545456</v>
      </c>
    </row>
    <row r="12" spans="1:19" ht="14.25">
      <c r="A12" s="5">
        <v>152805</v>
      </c>
      <c r="B12" s="20" t="s">
        <v>18</v>
      </c>
      <c r="C12" s="6">
        <v>146066470</v>
      </c>
      <c r="D12" s="6">
        <f>+C12/5*5</f>
        <v>146066470</v>
      </c>
      <c r="E12" s="6">
        <v>0</v>
      </c>
      <c r="F12" s="6">
        <f t="shared" si="0"/>
        <v>0</v>
      </c>
      <c r="G12" s="6" t="s">
        <v>272</v>
      </c>
      <c r="H12" s="125">
        <f>+Q12-S12</f>
        <v>0</v>
      </c>
      <c r="I12" s="6">
        <f t="shared" si="1"/>
        <v>0</v>
      </c>
      <c r="J12" s="6" t="s">
        <v>326</v>
      </c>
      <c r="K12" s="6">
        <v>0</v>
      </c>
      <c r="L12" s="6">
        <v>6066470</v>
      </c>
      <c r="M12" s="5" t="s">
        <v>253</v>
      </c>
      <c r="N12" s="2" t="s">
        <v>250</v>
      </c>
      <c r="P12" s="2" t="s">
        <v>154</v>
      </c>
      <c r="Q12" s="12">
        <f>+C12-L12</f>
        <v>140000000</v>
      </c>
      <c r="R12" s="2" t="s">
        <v>289</v>
      </c>
      <c r="S12" s="13">
        <f>+Q12/6*6</f>
        <v>140000000</v>
      </c>
    </row>
    <row r="13" spans="1:19" ht="14.25">
      <c r="A13" s="5">
        <v>154005</v>
      </c>
      <c r="B13" s="20" t="s">
        <v>565</v>
      </c>
      <c r="C13" s="6">
        <v>75000000</v>
      </c>
      <c r="D13" s="6">
        <f>+C13</f>
        <v>75000000</v>
      </c>
      <c r="E13" s="6">
        <v>0</v>
      </c>
      <c r="F13" s="6">
        <f t="shared" si="0"/>
        <v>0</v>
      </c>
      <c r="G13" s="6" t="s">
        <v>272</v>
      </c>
      <c r="H13" s="125">
        <f>+Q13-S13</f>
        <v>50000000</v>
      </c>
      <c r="I13" s="6">
        <f t="shared" si="1"/>
        <v>50000000</v>
      </c>
      <c r="J13" s="6" t="s">
        <v>250</v>
      </c>
      <c r="K13" s="6">
        <v>25000000</v>
      </c>
      <c r="L13" s="6"/>
      <c r="M13" s="5" t="s">
        <v>253</v>
      </c>
      <c r="N13" s="2" t="s">
        <v>290</v>
      </c>
      <c r="P13" s="2" t="s">
        <v>154</v>
      </c>
      <c r="Q13" s="12">
        <f>+C13-L13</f>
        <v>75000000</v>
      </c>
      <c r="R13" s="2" t="s">
        <v>289</v>
      </c>
      <c r="S13" s="13">
        <f>+(Q13-K13)/12*6</f>
        <v>25000000</v>
      </c>
    </row>
    <row r="14" spans="1:33" s="16" customFormat="1" ht="42.75">
      <c r="A14" s="7">
        <v>154010</v>
      </c>
      <c r="B14" s="20" t="s">
        <v>566</v>
      </c>
      <c r="C14" s="6">
        <v>245000000</v>
      </c>
      <c r="D14" s="6">
        <f>+C14</f>
        <v>245000000</v>
      </c>
      <c r="E14" s="6">
        <v>0</v>
      </c>
      <c r="F14" s="6">
        <f t="shared" si="0"/>
        <v>0</v>
      </c>
      <c r="G14" s="6" t="s">
        <v>272</v>
      </c>
      <c r="H14" s="125">
        <f>+Q14-S14</f>
        <v>102142857.14285713</v>
      </c>
      <c r="I14" s="6">
        <f t="shared" si="1"/>
        <v>102142857.14285713</v>
      </c>
      <c r="J14" s="6" t="s">
        <v>250</v>
      </c>
      <c r="K14" s="6">
        <v>45000000</v>
      </c>
      <c r="L14" s="6"/>
      <c r="M14" s="7" t="s">
        <v>254</v>
      </c>
      <c r="N14" s="16" t="s">
        <v>291</v>
      </c>
      <c r="P14" s="16" t="s">
        <v>154</v>
      </c>
      <c r="Q14" s="12">
        <f>+C14-L14</f>
        <v>245000000</v>
      </c>
      <c r="R14" s="2" t="s">
        <v>289</v>
      </c>
      <c r="S14" s="13">
        <f>+(Q14-K14)/21*15</f>
        <v>142857142.85714287</v>
      </c>
      <c r="T14" s="3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17" ht="15">
      <c r="B15" s="84" t="s">
        <v>19</v>
      </c>
      <c r="C15" s="76">
        <f aca="true" t="shared" si="2" ref="C15:I15">SUM(C6:C14)</f>
        <v>5721382743</v>
      </c>
      <c r="D15" s="76">
        <f t="shared" si="2"/>
        <v>2606729701.4</v>
      </c>
      <c r="E15" s="76">
        <f t="shared" si="2"/>
        <v>4922000000</v>
      </c>
      <c r="F15" s="76">
        <f t="shared" si="2"/>
        <v>8036653041.6</v>
      </c>
      <c r="G15" s="76">
        <f t="shared" si="2"/>
        <v>3850000000</v>
      </c>
      <c r="H15" s="76">
        <f t="shared" si="2"/>
        <v>8185961038.961039</v>
      </c>
      <c r="I15" s="76">
        <f t="shared" si="2"/>
        <v>149307997.36103886</v>
      </c>
      <c r="J15" s="90"/>
      <c r="K15" s="90"/>
      <c r="L15" s="90"/>
      <c r="Q15" s="12"/>
    </row>
    <row r="16" spans="3:17" ht="14.25">
      <c r="C16" s="12"/>
      <c r="E16" s="9" t="s">
        <v>0</v>
      </c>
      <c r="F16" s="9"/>
      <c r="Q16" s="12"/>
    </row>
    <row r="17" spans="5:17" ht="14.25">
      <c r="E17" s="9" t="s">
        <v>0</v>
      </c>
      <c r="F17" s="9" t="s">
        <v>0</v>
      </c>
      <c r="G17" s="12"/>
      <c r="H17" s="12"/>
      <c r="I17" s="12"/>
      <c r="Q17" s="12"/>
    </row>
    <row r="18" spans="5:17" ht="14.25">
      <c r="E18" s="9" t="s">
        <v>0</v>
      </c>
      <c r="G18" s="12"/>
      <c r="I18" s="12"/>
      <c r="Q18" s="12"/>
    </row>
    <row r="21" ht="15">
      <c r="B21" s="1" t="s">
        <v>193</v>
      </c>
    </row>
    <row r="22" spans="2:7" ht="60">
      <c r="B22" s="83" t="s">
        <v>1</v>
      </c>
      <c r="C22" s="83" t="s">
        <v>267</v>
      </c>
      <c r="D22" s="83" t="s">
        <v>59</v>
      </c>
      <c r="E22" s="83" t="s">
        <v>61</v>
      </c>
      <c r="F22" s="83" t="s">
        <v>195</v>
      </c>
      <c r="G22" s="83" t="s">
        <v>194</v>
      </c>
    </row>
    <row r="23" spans="2:7" ht="28.5">
      <c r="B23" s="20" t="str">
        <f>+B6</f>
        <v>Terreno 1- Oficinas administrativas </v>
      </c>
      <c r="C23" s="55">
        <f>+H6</f>
        <v>1850000000</v>
      </c>
      <c r="D23" s="55">
        <f>+C6</f>
        <v>650000000</v>
      </c>
      <c r="E23" s="55">
        <f>+C23-D23</f>
        <v>1200000000</v>
      </c>
      <c r="F23" s="55">
        <f>+E23</f>
        <v>1200000000</v>
      </c>
      <c r="G23" s="55"/>
    </row>
    <row r="24" spans="2:7" ht="28.5">
      <c r="B24" s="20" t="str">
        <f>+B9</f>
        <v>Edificación - Administrativas.</v>
      </c>
      <c r="C24" s="55">
        <f>+H9</f>
        <v>3552000000</v>
      </c>
      <c r="D24" s="55">
        <f>+C9-D9</f>
        <v>978000000</v>
      </c>
      <c r="E24" s="55">
        <f aca="true" t="shared" si="3" ref="E24:E33">+C24-D24</f>
        <v>2574000000</v>
      </c>
      <c r="F24" s="55">
        <f>+E24-G24</f>
        <v>1107000000</v>
      </c>
      <c r="G24" s="55">
        <f>+D9</f>
        <v>1467000000</v>
      </c>
    </row>
    <row r="25" spans="2:7" ht="28.5">
      <c r="B25" s="20" t="str">
        <f>+B8</f>
        <v>Terreno, explotado como parqueadero</v>
      </c>
      <c r="C25" s="55">
        <f>+H8</f>
        <v>800000000</v>
      </c>
      <c r="D25" s="55">
        <f>+C8</f>
        <v>550000000</v>
      </c>
      <c r="E25" s="55">
        <f t="shared" si="3"/>
        <v>250000000</v>
      </c>
      <c r="F25" s="55">
        <f>+E25</f>
        <v>250000000</v>
      </c>
      <c r="G25" s="55"/>
    </row>
    <row r="26" spans="2:8" ht="14.25">
      <c r="B26" s="20" t="str">
        <f>+B10</f>
        <v>Maquina </v>
      </c>
      <c r="C26" s="55">
        <f>+H10</f>
        <v>436363636.3636363</v>
      </c>
      <c r="D26" s="55">
        <f>+C10-D10</f>
        <v>412632662</v>
      </c>
      <c r="E26" s="55">
        <f t="shared" si="3"/>
        <v>23730974.363636315</v>
      </c>
      <c r="F26" s="55"/>
      <c r="G26" s="55">
        <f>+E26</f>
        <v>23730974.363636315</v>
      </c>
      <c r="H26" s="2" t="s">
        <v>694</v>
      </c>
    </row>
    <row r="27" spans="2:7" ht="14.25">
      <c r="B27" s="20" t="str">
        <f>+B11</f>
        <v>Muebles y enseres</v>
      </c>
      <c r="C27" s="55">
        <f>+H11</f>
        <v>195454545.45454544</v>
      </c>
      <c r="D27" s="55">
        <f>+C11-D11</f>
        <v>174020379.60000002</v>
      </c>
      <c r="E27" s="55">
        <f t="shared" si="3"/>
        <v>21434165.854545414</v>
      </c>
      <c r="F27" s="55"/>
      <c r="G27" s="55">
        <f>+E27</f>
        <v>21434165.854545414</v>
      </c>
    </row>
    <row r="28" spans="2:7" ht="14.25">
      <c r="B28" s="20" t="str">
        <f>+B12</f>
        <v>Equipo de computo</v>
      </c>
      <c r="C28" s="55">
        <f>+H12</f>
        <v>0</v>
      </c>
      <c r="D28" s="55">
        <f>+C12-D12</f>
        <v>0</v>
      </c>
      <c r="E28" s="55">
        <f t="shared" si="3"/>
        <v>0</v>
      </c>
      <c r="F28" s="55"/>
      <c r="G28" s="55"/>
    </row>
    <row r="29" spans="2:7" ht="14.25">
      <c r="B29" s="20" t="str">
        <f>+B13</f>
        <v>Vehículo administrativo</v>
      </c>
      <c r="C29" s="55">
        <f>+H13</f>
        <v>50000000</v>
      </c>
      <c r="D29" s="55">
        <f>+C13-D13</f>
        <v>0</v>
      </c>
      <c r="E29" s="55">
        <f t="shared" si="3"/>
        <v>50000000</v>
      </c>
      <c r="F29" s="55"/>
      <c r="G29" s="55">
        <f>+E29</f>
        <v>50000000</v>
      </c>
    </row>
    <row r="30" spans="2:7" ht="44.25" customHeight="1">
      <c r="B30" s="20" t="str">
        <f>+B14</f>
        <v>Tractomula arrendada a empresa de transportes</v>
      </c>
      <c r="C30" s="55">
        <f>+H14</f>
        <v>102142857.14285713</v>
      </c>
      <c r="D30" s="55">
        <f>+C14-D14</f>
        <v>0</v>
      </c>
      <c r="E30" s="55">
        <f t="shared" si="3"/>
        <v>102142857.14285713</v>
      </c>
      <c r="F30" s="55"/>
      <c r="G30" s="55">
        <f>+E30</f>
        <v>102142857.14285713</v>
      </c>
    </row>
    <row r="31" spans="2:7" ht="28.5">
      <c r="B31" s="20" t="s">
        <v>133</v>
      </c>
      <c r="C31" s="55">
        <f>+'Otros activos'!E28</f>
        <v>456000000</v>
      </c>
      <c r="D31" s="55">
        <f>+'Otros activos'!C28</f>
        <v>456000000</v>
      </c>
      <c r="E31" s="55">
        <f t="shared" si="3"/>
        <v>0</v>
      </c>
      <c r="F31" s="55"/>
      <c r="G31" s="55"/>
    </row>
    <row r="32" spans="2:7" ht="57">
      <c r="B32" s="20" t="s">
        <v>615</v>
      </c>
      <c r="C32" s="55">
        <f>+arrendamiento!C62</f>
        <v>126666666.66666627</v>
      </c>
      <c r="D32" s="55">
        <v>0</v>
      </c>
      <c r="E32" s="55">
        <f t="shared" si="3"/>
        <v>126666666.66666627</v>
      </c>
      <c r="F32" s="55"/>
      <c r="G32" s="55">
        <f>+E32</f>
        <v>126666666.66666627</v>
      </c>
    </row>
    <row r="33" spans="2:7" ht="14.25">
      <c r="B33" s="20" t="s">
        <v>693</v>
      </c>
      <c r="C33" s="55">
        <f>+'Otros activos'!E32+'Otros activos'!E33</f>
        <v>122250000</v>
      </c>
      <c r="D33" s="55">
        <f>+'Otros activos'!C33+'Otros activos'!C32</f>
        <v>122250000</v>
      </c>
      <c r="E33" s="55">
        <f t="shared" si="3"/>
        <v>0</v>
      </c>
      <c r="F33" s="55"/>
      <c r="G33" s="55"/>
    </row>
    <row r="34" spans="2:7" ht="15">
      <c r="B34" s="84" t="s">
        <v>19</v>
      </c>
      <c r="C34" s="91">
        <f>SUM(C23:C33)</f>
        <v>7690877705.627705</v>
      </c>
      <c r="D34" s="91">
        <f>SUM(D23:D33)</f>
        <v>3342903041.6</v>
      </c>
      <c r="E34" s="91">
        <f>SUM(E23:E33)</f>
        <v>4347974664.027705</v>
      </c>
      <c r="F34" s="91">
        <f>SUM(F23:F33)</f>
        <v>2557000000</v>
      </c>
      <c r="G34" s="91">
        <f>SUM(G23:G33)</f>
        <v>1790974664.027705</v>
      </c>
    </row>
    <row r="35" ht="14.25">
      <c r="D35" s="12"/>
    </row>
    <row r="36" spans="3:6" ht="14.25">
      <c r="C36" s="108" t="b">
        <f>+C34='Balance 01012014'!F15</f>
        <v>0</v>
      </c>
      <c r="D36" s="12"/>
      <c r="F36" s="13"/>
    </row>
    <row r="37" spans="3:8" ht="15">
      <c r="C37" s="141">
        <f>+'Balance 01012014'!F15</f>
        <v>7690877705.627706</v>
      </c>
      <c r="E37" s="2" t="s">
        <v>0</v>
      </c>
      <c r="F37" s="13">
        <f>+F34*10%+G34*25%</f>
        <v>703443666.0069263</v>
      </c>
      <c r="G37" s="2" t="s">
        <v>270</v>
      </c>
      <c r="H37" s="13">
        <f>+F34*10%+G34*25%</f>
        <v>703443666.0069263</v>
      </c>
    </row>
    <row r="38" spans="3:8" ht="14.25">
      <c r="C38" s="190">
        <f>+C37-C34</f>
        <v>0</v>
      </c>
      <c r="F38" s="13"/>
      <c r="G38" s="2" t="s">
        <v>271</v>
      </c>
      <c r="H38" s="13">
        <f>+G34*9%</f>
        <v>161187719.76249343</v>
      </c>
    </row>
    <row r="39" spans="3:8" ht="14.25">
      <c r="C39" s="12"/>
      <c r="F39" s="13"/>
      <c r="H39" s="13"/>
    </row>
    <row r="40" ht="14.25">
      <c r="F40" s="13"/>
    </row>
    <row r="43" spans="3:5" ht="14.25">
      <c r="C43" s="13"/>
      <c r="D43" s="13"/>
      <c r="E43" s="13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="170" zoomScaleNormal="170" zoomScalePageLayoutView="0" workbookViewId="0" topLeftCell="A1">
      <pane ySplit="1" topLeftCell="A23" activePane="bottomLeft" state="frozen"/>
      <selection pane="topLeft" activeCell="A1" sqref="A1"/>
      <selection pane="bottomLeft" activeCell="B46" sqref="B46"/>
    </sheetView>
  </sheetViews>
  <sheetFormatPr defaultColWidth="11.421875" defaultRowHeight="12.75"/>
  <cols>
    <col min="1" max="1" width="11.421875" style="2" customWidth="1"/>
    <col min="2" max="2" width="27.7109375" style="2" customWidth="1"/>
    <col min="3" max="3" width="20.140625" style="2" customWidth="1"/>
    <col min="4" max="4" width="16.140625" style="2" customWidth="1"/>
    <col min="5" max="5" width="17.00390625" style="2" customWidth="1"/>
    <col min="6" max="6" width="8.8515625" style="2" customWidth="1"/>
    <col min="7" max="7" width="14.28125" style="2" customWidth="1"/>
    <col min="8" max="8" width="17.421875" style="2" bestFit="1" customWidth="1"/>
    <col min="9" max="9" width="18.7109375" style="2" customWidth="1"/>
    <col min="10" max="12" width="11.421875" style="2" customWidth="1"/>
    <col min="13" max="13" width="12.8515625" style="2" bestFit="1" customWidth="1"/>
    <col min="14" max="16384" width="11.421875" style="2" customWidth="1"/>
  </cols>
  <sheetData>
    <row r="1" spans="1:3" s="79" customFormat="1" ht="55.5" customHeight="1">
      <c r="A1" s="81" t="s">
        <v>170</v>
      </c>
      <c r="B1" s="80"/>
      <c r="C1" s="81" t="s">
        <v>171</v>
      </c>
    </row>
    <row r="2" ht="14.25"/>
    <row r="3" ht="15">
      <c r="A3" s="1" t="s">
        <v>196</v>
      </c>
    </row>
    <row r="4" ht="15">
      <c r="A4" s="1"/>
    </row>
    <row r="5" ht="15">
      <c r="A5" s="1"/>
    </row>
    <row r="7" spans="1:2" ht="15">
      <c r="A7" s="1" t="s">
        <v>197</v>
      </c>
      <c r="B7" s="1"/>
    </row>
    <row r="8" spans="1:8" ht="15">
      <c r="A8" s="69" t="s">
        <v>147</v>
      </c>
      <c r="B8" s="83" t="s">
        <v>1</v>
      </c>
      <c r="C8" s="83" t="s">
        <v>232</v>
      </c>
      <c r="D8" s="83" t="s">
        <v>37</v>
      </c>
      <c r="E8" s="83" t="s">
        <v>145</v>
      </c>
      <c r="H8" s="2" t="s">
        <v>0</v>
      </c>
    </row>
    <row r="9" spans="1:5" ht="30">
      <c r="A9" s="68"/>
      <c r="B9" s="84" t="s">
        <v>22</v>
      </c>
      <c r="C9" s="76">
        <f>SUM(C10:C13)</f>
        <v>42212000</v>
      </c>
      <c r="D9" s="76">
        <f>SUM(D10:D13)</f>
        <v>0</v>
      </c>
      <c r="E9" s="76">
        <f>SUM(E10:E13)</f>
        <v>42212000</v>
      </c>
    </row>
    <row r="10" spans="1:5" ht="28.5">
      <c r="A10" s="5">
        <v>170545</v>
      </c>
      <c r="B10" s="20" t="s">
        <v>292</v>
      </c>
      <c r="C10" s="6">
        <v>13526000</v>
      </c>
      <c r="D10" s="6"/>
      <c r="E10" s="6">
        <f>+C10+D10</f>
        <v>13526000</v>
      </c>
    </row>
    <row r="11" spans="1:5" ht="14.25">
      <c r="A11" s="5">
        <v>170535</v>
      </c>
      <c r="B11" s="20" t="s">
        <v>257</v>
      </c>
      <c r="C11" s="6">
        <v>15626000</v>
      </c>
      <c r="D11" s="6"/>
      <c r="E11" s="6">
        <f>+C11+D11</f>
        <v>15626000</v>
      </c>
    </row>
    <row r="12" spans="1:5" ht="14.25">
      <c r="A12" s="5">
        <v>170525</v>
      </c>
      <c r="B12" s="20" t="s">
        <v>150</v>
      </c>
      <c r="C12" s="6">
        <v>7560000</v>
      </c>
      <c r="D12" s="6"/>
      <c r="E12" s="6">
        <f>+C12+D12</f>
        <v>7560000</v>
      </c>
    </row>
    <row r="13" spans="1:5" ht="28.5">
      <c r="A13" s="5">
        <v>170520</v>
      </c>
      <c r="B13" s="20" t="s">
        <v>138</v>
      </c>
      <c r="C13" s="6">
        <v>5500000</v>
      </c>
      <c r="D13" s="6"/>
      <c r="E13" s="6">
        <f>+C13+D13</f>
        <v>5500000</v>
      </c>
    </row>
    <row r="20" spans="1:5" ht="15">
      <c r="A20" s="1" t="s">
        <v>198</v>
      </c>
      <c r="E20" s="1" t="s">
        <v>670</v>
      </c>
    </row>
    <row r="21" spans="1:7" ht="15">
      <c r="A21" s="69" t="s">
        <v>147</v>
      </c>
      <c r="B21" s="84" t="s">
        <v>1</v>
      </c>
      <c r="C21" s="83" t="s">
        <v>232</v>
      </c>
      <c r="D21" s="83" t="s">
        <v>37</v>
      </c>
      <c r="E21" s="83" t="s">
        <v>145</v>
      </c>
      <c r="G21" s="69" t="s">
        <v>59</v>
      </c>
    </row>
    <row r="22" spans="1:13" ht="15">
      <c r="A22" s="68"/>
      <c r="B22" s="84" t="s">
        <v>31</v>
      </c>
      <c r="C22" s="76">
        <f>SUM(C23:C34)</f>
        <v>1579982000</v>
      </c>
      <c r="D22" s="76">
        <f>SUM(D23:D34)</f>
        <v>-801276000</v>
      </c>
      <c r="E22" s="76">
        <f>SUM(E23:E34)</f>
        <v>778706000</v>
      </c>
      <c r="G22" s="8">
        <f>SUM(G23:G35)</f>
        <v>0</v>
      </c>
      <c r="M22" s="13"/>
    </row>
    <row r="23" spans="1:13" ht="14.25">
      <c r="A23" s="5">
        <v>171004</v>
      </c>
      <c r="B23" s="20" t="s">
        <v>83</v>
      </c>
      <c r="C23" s="6">
        <v>270000000</v>
      </c>
      <c r="D23" s="257">
        <f>-C23</f>
        <v>-270000000</v>
      </c>
      <c r="E23" s="6">
        <f>+C23+D23</f>
        <v>0</v>
      </c>
      <c r="G23" s="12"/>
      <c r="M23" s="13"/>
    </row>
    <row r="24" spans="1:13" ht="14.25">
      <c r="A24" s="5">
        <v>171008</v>
      </c>
      <c r="B24" s="20" t="s">
        <v>570</v>
      </c>
      <c r="C24" s="6">
        <v>65000000</v>
      </c>
      <c r="D24" s="257">
        <f>-C24</f>
        <v>-65000000</v>
      </c>
      <c r="E24" s="6">
        <f aca="true" t="shared" si="0" ref="E24:E34">+C24+D24</f>
        <v>0</v>
      </c>
      <c r="G24" s="12"/>
      <c r="M24" s="13"/>
    </row>
    <row r="25" spans="1:6" ht="14.25">
      <c r="A25" s="5">
        <v>171016</v>
      </c>
      <c r="B25" s="20" t="s">
        <v>284</v>
      </c>
      <c r="C25" s="6">
        <v>125000000</v>
      </c>
      <c r="D25" s="6"/>
      <c r="E25" s="6">
        <f t="shared" si="0"/>
        <v>125000000</v>
      </c>
      <c r="F25" s="2" t="s">
        <v>677</v>
      </c>
    </row>
    <row r="26" spans="1:6" ht="14.25">
      <c r="A26" s="5">
        <v>171016</v>
      </c>
      <c r="B26" s="20" t="s">
        <v>237</v>
      </c>
      <c r="C26" s="6">
        <v>75456000</v>
      </c>
      <c r="D26" s="6"/>
      <c r="E26" s="6">
        <f t="shared" si="0"/>
        <v>75456000</v>
      </c>
      <c r="F26" s="2" t="s">
        <v>677</v>
      </c>
    </row>
    <row r="27" spans="1:13" ht="14.25">
      <c r="A27" s="5">
        <v>171020</v>
      </c>
      <c r="B27" s="20" t="s">
        <v>571</v>
      </c>
      <c r="C27" s="6">
        <v>12526000</v>
      </c>
      <c r="D27" s="257">
        <f>-C27</f>
        <v>-12526000</v>
      </c>
      <c r="E27" s="6">
        <f t="shared" si="0"/>
        <v>0</v>
      </c>
      <c r="G27" s="12"/>
      <c r="M27" s="13"/>
    </row>
    <row r="28" spans="1:13" ht="14.25">
      <c r="A28" s="5">
        <v>171024</v>
      </c>
      <c r="B28" s="20" t="s">
        <v>133</v>
      </c>
      <c r="C28" s="6">
        <v>456000000</v>
      </c>
      <c r="D28" s="257"/>
      <c r="E28" s="6">
        <f t="shared" si="0"/>
        <v>456000000</v>
      </c>
      <c r="F28" s="2" t="s">
        <v>335</v>
      </c>
      <c r="G28" s="12"/>
      <c r="M28" s="13"/>
    </row>
    <row r="29" spans="1:13" ht="14.25">
      <c r="A29" s="5">
        <v>171032</v>
      </c>
      <c r="B29" s="20" t="s">
        <v>572</v>
      </c>
      <c r="C29" s="6">
        <v>26500000</v>
      </c>
      <c r="D29" s="257">
        <f>-C29</f>
        <v>-26500000</v>
      </c>
      <c r="E29" s="6">
        <f t="shared" si="0"/>
        <v>0</v>
      </c>
      <c r="M29" s="13"/>
    </row>
    <row r="30" spans="1:5" ht="28.5">
      <c r="A30" s="5">
        <v>171036</v>
      </c>
      <c r="B30" s="20" t="s">
        <v>573</v>
      </c>
      <c r="C30" s="6">
        <v>326000000</v>
      </c>
      <c r="D30" s="257">
        <f>-C30</f>
        <v>-326000000</v>
      </c>
      <c r="E30" s="6">
        <f t="shared" si="0"/>
        <v>0</v>
      </c>
    </row>
    <row r="31" spans="1:5" ht="14.25">
      <c r="A31" s="5">
        <v>171044</v>
      </c>
      <c r="B31" s="20" t="s">
        <v>112</v>
      </c>
      <c r="C31" s="6">
        <v>36250000</v>
      </c>
      <c r="D31" s="257">
        <f>-C31</f>
        <v>-36250000</v>
      </c>
      <c r="E31" s="6">
        <f t="shared" si="0"/>
        <v>0</v>
      </c>
    </row>
    <row r="32" spans="1:5" ht="14.25">
      <c r="A32" s="5">
        <v>171052</v>
      </c>
      <c r="B32" s="20" t="s">
        <v>574</v>
      </c>
      <c r="C32" s="6">
        <v>86000000</v>
      </c>
      <c r="D32" s="257"/>
      <c r="E32" s="6">
        <f t="shared" si="0"/>
        <v>86000000</v>
      </c>
    </row>
    <row r="33" spans="1:5" ht="14.25">
      <c r="A33" s="5">
        <v>1710</v>
      </c>
      <c r="B33" s="20" t="s">
        <v>621</v>
      </c>
      <c r="C33" s="6">
        <v>36250000</v>
      </c>
      <c r="D33" s="257"/>
      <c r="E33" s="6">
        <f t="shared" si="0"/>
        <v>36250000</v>
      </c>
    </row>
    <row r="34" spans="1:5" ht="14.25">
      <c r="A34" s="5">
        <v>171076</v>
      </c>
      <c r="B34" s="20" t="s">
        <v>575</v>
      </c>
      <c r="C34" s="6">
        <v>65000000</v>
      </c>
      <c r="D34" s="257">
        <f>-C34</f>
        <v>-65000000</v>
      </c>
      <c r="E34" s="6">
        <f t="shared" si="0"/>
        <v>0</v>
      </c>
    </row>
    <row r="35" ht="14.25">
      <c r="G35" s="12"/>
    </row>
    <row r="37" spans="3:4" ht="14.25">
      <c r="C37" s="2" t="s">
        <v>0</v>
      </c>
      <c r="D37" s="12"/>
    </row>
    <row r="38" ht="14.25">
      <c r="D38" s="12"/>
    </row>
    <row r="39" ht="14.25">
      <c r="D39" s="12"/>
    </row>
    <row r="40" ht="15">
      <c r="A40" s="1" t="s">
        <v>255</v>
      </c>
    </row>
    <row r="41" spans="1:5" ht="15">
      <c r="A41" s="69" t="s">
        <v>147</v>
      </c>
      <c r="B41" s="84" t="s">
        <v>1</v>
      </c>
      <c r="C41" s="83" t="s">
        <v>232</v>
      </c>
      <c r="D41" s="83" t="s">
        <v>37</v>
      </c>
      <c r="E41" s="83" t="s">
        <v>145</v>
      </c>
    </row>
    <row r="42" spans="1:5" ht="15">
      <c r="A42" s="68"/>
      <c r="B42" s="84" t="s">
        <v>25</v>
      </c>
      <c r="C42" s="76">
        <f>SUM(C43:C44)</f>
        <v>26000000</v>
      </c>
      <c r="D42" s="76">
        <f>SUM(D43:D44)</f>
        <v>-26000000</v>
      </c>
      <c r="E42" s="76">
        <f>SUM(E43:E44)</f>
        <v>0</v>
      </c>
    </row>
    <row r="43" spans="1:5" ht="14.25">
      <c r="A43" s="5">
        <v>161010</v>
      </c>
      <c r="B43" s="20" t="s">
        <v>256</v>
      </c>
      <c r="C43" s="6">
        <v>65000000</v>
      </c>
      <c r="D43" s="6">
        <f>-C43</f>
        <v>-65000000</v>
      </c>
      <c r="E43" s="6">
        <f>+C43+D43</f>
        <v>0</v>
      </c>
    </row>
    <row r="44" spans="1:5" ht="14.25">
      <c r="A44" s="5">
        <v>161010</v>
      </c>
      <c r="B44" s="20" t="s">
        <v>84</v>
      </c>
      <c r="C44" s="6">
        <f>-(C43)/5*3</f>
        <v>-39000000</v>
      </c>
      <c r="D44" s="6">
        <f>-C44</f>
        <v>39000000</v>
      </c>
      <c r="E44" s="6">
        <f>-E43/5*3</f>
        <v>0</v>
      </c>
    </row>
    <row r="45" ht="14.25">
      <c r="H45" s="12"/>
    </row>
    <row r="46" ht="14.25">
      <c r="H46" s="12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7"/>
  <sheetViews>
    <sheetView showGridLines="0" zoomScale="170" zoomScaleNormal="170" zoomScalePageLayoutView="0" workbookViewId="0" topLeftCell="A23">
      <selection activeCell="C60" sqref="C60"/>
    </sheetView>
  </sheetViews>
  <sheetFormatPr defaultColWidth="11.421875" defaultRowHeight="12.75" outlineLevelRow="1"/>
  <cols>
    <col min="2" max="2" width="17.57421875" style="0" bestFit="1" customWidth="1"/>
    <col min="3" max="3" width="19.421875" style="0" customWidth="1"/>
    <col min="4" max="4" width="17.7109375" style="0" bestFit="1" customWidth="1"/>
  </cols>
  <sheetData>
    <row r="2" spans="1:2" ht="12.75">
      <c r="A2" s="130" t="s">
        <v>293</v>
      </c>
      <c r="B2" s="129" t="s">
        <v>294</v>
      </c>
    </row>
    <row r="3" ht="12.75">
      <c r="B3" s="129" t="s">
        <v>295</v>
      </c>
    </row>
    <row r="4" ht="12.75">
      <c r="B4" s="129" t="s">
        <v>296</v>
      </c>
    </row>
    <row r="5" ht="12.75">
      <c r="B5" s="129" t="s">
        <v>297</v>
      </c>
    </row>
    <row r="6" ht="12.75">
      <c r="B6" s="129" t="s">
        <v>298</v>
      </c>
    </row>
    <row r="7" ht="12.75">
      <c r="B7" s="129" t="s">
        <v>299</v>
      </c>
    </row>
    <row r="8" ht="12.75">
      <c r="B8" s="129" t="s">
        <v>300</v>
      </c>
    </row>
    <row r="9" spans="2:4" ht="12.75">
      <c r="B9" s="129" t="s">
        <v>301</v>
      </c>
      <c r="D9" s="129" t="s">
        <v>302</v>
      </c>
    </row>
    <row r="11" s="138" customFormat="1" ht="12.75"/>
    <row r="13" spans="1:3" ht="12.75" outlineLevel="1">
      <c r="A13" s="130" t="s">
        <v>293</v>
      </c>
      <c r="B13" s="129" t="s">
        <v>576</v>
      </c>
      <c r="C13" t="s">
        <v>591</v>
      </c>
    </row>
    <row r="14" spans="2:3" ht="12.75" outlineLevel="1">
      <c r="B14" s="129" t="s">
        <v>577</v>
      </c>
      <c r="C14" t="s">
        <v>591</v>
      </c>
    </row>
    <row r="15" spans="2:3" ht="12.75" outlineLevel="1">
      <c r="B15" s="129" t="s">
        <v>578</v>
      </c>
      <c r="C15" t="s">
        <v>592</v>
      </c>
    </row>
    <row r="16" spans="1:6" ht="12.75" outlineLevel="1">
      <c r="A16" s="130" t="s">
        <v>202</v>
      </c>
      <c r="B16" s="130" t="s">
        <v>245</v>
      </c>
      <c r="C16" s="130" t="s">
        <v>304</v>
      </c>
      <c r="D16" s="130" t="s">
        <v>85</v>
      </c>
      <c r="E16" s="130"/>
      <c r="F16" s="130"/>
    </row>
    <row r="17" spans="2:4" ht="12.75" outlineLevel="1">
      <c r="B17" s="44">
        <v>-380000000</v>
      </c>
      <c r="D17" s="135">
        <f>-B17</f>
        <v>380000000</v>
      </c>
    </row>
    <row r="18" spans="1:4" ht="12.75" outlineLevel="1">
      <c r="A18" s="132">
        <v>41275</v>
      </c>
      <c r="B18" s="44">
        <v>12500000</v>
      </c>
      <c r="C18" s="135">
        <f>+D17*$B$54</f>
        <v>3587515.0257448405</v>
      </c>
      <c r="D18" s="135">
        <f>+D17+C18-B18</f>
        <v>371087515.02574486</v>
      </c>
    </row>
    <row r="19" spans="1:4" ht="12.75" outlineLevel="1">
      <c r="A19" s="132">
        <v>41306</v>
      </c>
      <c r="B19" s="44">
        <v>12500000</v>
      </c>
      <c r="C19" s="135">
        <f aca="true" t="shared" si="0" ref="C19:C53">+D18*$B$54</f>
        <v>3503373.7790030893</v>
      </c>
      <c r="D19" s="135">
        <f aca="true" t="shared" si="1" ref="D19:D53">+D18+C19-B19</f>
        <v>362090888.80474794</v>
      </c>
    </row>
    <row r="20" spans="1:4" ht="12.75" outlineLevel="1">
      <c r="A20" s="132">
        <v>41334</v>
      </c>
      <c r="B20" s="44">
        <v>12500000</v>
      </c>
      <c r="C20" s="135">
        <f t="shared" si="0"/>
        <v>3418438.1691377303</v>
      </c>
      <c r="D20" s="135">
        <f t="shared" si="1"/>
        <v>353009326.97388566</v>
      </c>
    </row>
    <row r="21" spans="1:4" ht="12.75" outlineLevel="1">
      <c r="A21" s="132">
        <v>41365</v>
      </c>
      <c r="B21" s="44">
        <v>12500000</v>
      </c>
      <c r="C21" s="135">
        <f t="shared" si="0"/>
        <v>3332700.696702338</v>
      </c>
      <c r="D21" s="135">
        <f t="shared" si="1"/>
        <v>343842027.670588</v>
      </c>
    </row>
    <row r="22" spans="1:4" ht="12.75" outlineLevel="1">
      <c r="A22" s="132">
        <v>41395</v>
      </c>
      <c r="B22" s="44">
        <v>12500000</v>
      </c>
      <c r="C22" s="135">
        <f t="shared" si="0"/>
        <v>3246153.791449494</v>
      </c>
      <c r="D22" s="135">
        <f t="shared" si="1"/>
        <v>334588181.4620375</v>
      </c>
    </row>
    <row r="23" spans="1:4" ht="12.75" outlineLevel="1">
      <c r="A23" s="132">
        <v>41426</v>
      </c>
      <c r="B23" s="44">
        <v>12500000</v>
      </c>
      <c r="C23" s="135">
        <f t="shared" si="0"/>
        <v>3158789.811662371</v>
      </c>
      <c r="D23" s="135">
        <f t="shared" si="1"/>
        <v>325246971.2736999</v>
      </c>
    </row>
    <row r="24" spans="1:4" ht="12.75" outlineLevel="1">
      <c r="A24" s="132">
        <v>41456</v>
      </c>
      <c r="B24" s="44">
        <v>12500000</v>
      </c>
      <c r="C24" s="135">
        <f t="shared" si="0"/>
        <v>3070601.043479997</v>
      </c>
      <c r="D24" s="135">
        <f t="shared" si="1"/>
        <v>315817572.31717986</v>
      </c>
    </row>
    <row r="25" spans="1:4" ht="12.75" outlineLevel="1">
      <c r="A25" s="132">
        <v>41487</v>
      </c>
      <c r="B25" s="44">
        <v>12500000</v>
      </c>
      <c r="C25" s="135">
        <f t="shared" si="0"/>
        <v>2981579.7002161597</v>
      </c>
      <c r="D25" s="135">
        <f t="shared" si="1"/>
        <v>306299152.01739603</v>
      </c>
    </row>
    <row r="26" spans="1:4" ht="12.75" outlineLevel="1">
      <c r="A26" s="132">
        <v>41518</v>
      </c>
      <c r="B26" s="44">
        <v>12500000</v>
      </c>
      <c r="C26" s="135">
        <f t="shared" si="0"/>
        <v>2891717.921671872</v>
      </c>
      <c r="D26" s="135">
        <f t="shared" si="1"/>
        <v>296690869.9390679</v>
      </c>
    </row>
    <row r="27" spans="1:4" ht="12.75" outlineLevel="1">
      <c r="A27" s="132">
        <v>41548</v>
      </c>
      <c r="B27" s="44">
        <v>12500000</v>
      </c>
      <c r="C27" s="135">
        <f t="shared" si="0"/>
        <v>2801007.773441354</v>
      </c>
      <c r="D27" s="135">
        <f t="shared" si="1"/>
        <v>286991877.7125093</v>
      </c>
    </row>
    <row r="28" spans="1:4" ht="12.75" outlineLevel="1">
      <c r="A28" s="132">
        <v>41579</v>
      </c>
      <c r="B28" s="44">
        <v>12500000</v>
      </c>
      <c r="C28" s="135">
        <f t="shared" si="0"/>
        <v>2709441.2462114547</v>
      </c>
      <c r="D28" s="135">
        <f t="shared" si="1"/>
        <v>277201318.95872074</v>
      </c>
    </row>
    <row r="29" spans="1:4" ht="12.75" outlineLevel="1">
      <c r="A29" s="132">
        <v>41609</v>
      </c>
      <c r="B29" s="44">
        <v>12500000</v>
      </c>
      <c r="C29" s="135">
        <f t="shared" si="0"/>
        <v>2617010.2550544706</v>
      </c>
      <c r="D29" s="135">
        <f t="shared" si="1"/>
        <v>267318329.21377522</v>
      </c>
    </row>
    <row r="30" spans="1:4" ht="12.75" outlineLevel="1">
      <c r="A30" s="132">
        <v>41640</v>
      </c>
      <c r="B30" s="44">
        <v>12500000</v>
      </c>
      <c r="C30" s="135">
        <f t="shared" si="0"/>
        <v>2523706.6387142753</v>
      </c>
      <c r="D30" s="135">
        <f t="shared" si="1"/>
        <v>257342035.85248947</v>
      </c>
    </row>
    <row r="31" spans="1:4" ht="12.75" outlineLevel="1">
      <c r="A31" s="132">
        <v>41671</v>
      </c>
      <c r="B31" s="44">
        <v>12500000</v>
      </c>
      <c r="C31" s="135">
        <f t="shared" si="0"/>
        <v>2429522.1588857197</v>
      </c>
      <c r="D31" s="135">
        <f t="shared" si="1"/>
        <v>247271558.0113752</v>
      </c>
    </row>
    <row r="32" spans="1:4" ht="12.75" outlineLevel="1">
      <c r="A32" s="132">
        <v>41699</v>
      </c>
      <c r="B32" s="44">
        <v>12500000</v>
      </c>
      <c r="C32" s="135">
        <f t="shared" si="0"/>
        <v>2334448.499487225</v>
      </c>
      <c r="D32" s="135">
        <f t="shared" si="1"/>
        <v>237106006.5108624</v>
      </c>
    </row>
    <row r="33" spans="1:4" ht="12.75" outlineLevel="1">
      <c r="A33" s="132">
        <v>41730</v>
      </c>
      <c r="B33" s="44">
        <v>12500000</v>
      </c>
      <c r="C33" s="135">
        <f t="shared" si="0"/>
        <v>2238477.265926508</v>
      </c>
      <c r="D33" s="135">
        <f t="shared" si="1"/>
        <v>226844483.77678892</v>
      </c>
    </row>
    <row r="34" spans="1:4" ht="12.75" outlineLevel="1">
      <c r="A34" s="132">
        <v>41760</v>
      </c>
      <c r="B34" s="44">
        <v>12500000</v>
      </c>
      <c r="C34" s="135">
        <f t="shared" si="0"/>
        <v>2141599.984359374</v>
      </c>
      <c r="D34" s="135">
        <f t="shared" si="1"/>
        <v>216486083.7611483</v>
      </c>
    </row>
    <row r="35" spans="1:4" ht="12.75" outlineLevel="1">
      <c r="A35" s="132">
        <v>41791</v>
      </c>
      <c r="B35" s="44">
        <v>12500000</v>
      </c>
      <c r="C35" s="135">
        <f t="shared" si="0"/>
        <v>2043808.100941515</v>
      </c>
      <c r="D35" s="135">
        <f t="shared" si="1"/>
        <v>206029891.8620898</v>
      </c>
    </row>
    <row r="36" spans="1:4" ht="12.75" outlineLevel="1">
      <c r="A36" s="132">
        <v>41821</v>
      </c>
      <c r="B36" s="44">
        <v>12500000</v>
      </c>
      <c r="C36" s="135">
        <f t="shared" si="0"/>
        <v>1945092.9810732417</v>
      </c>
      <c r="D36" s="135">
        <f t="shared" si="1"/>
        <v>195474984.84316304</v>
      </c>
    </row>
    <row r="37" spans="1:4" ht="12.75" outlineLevel="1">
      <c r="A37" s="132">
        <v>41852</v>
      </c>
      <c r="B37" s="44">
        <v>12500000</v>
      </c>
      <c r="C37" s="135">
        <f t="shared" si="0"/>
        <v>1845445.9086370852</v>
      </c>
      <c r="D37" s="135">
        <f t="shared" si="1"/>
        <v>184820430.75180012</v>
      </c>
    </row>
    <row r="38" spans="1:4" ht="12.75" outlineLevel="1">
      <c r="A38" s="132">
        <v>41883</v>
      </c>
      <c r="B38" s="44">
        <v>12500000</v>
      </c>
      <c r="C38" s="135">
        <f t="shared" si="0"/>
        <v>1744858.085228202</v>
      </c>
      <c r="D38" s="135">
        <f t="shared" si="1"/>
        <v>174065288.83702832</v>
      </c>
    </row>
    <row r="39" spans="1:4" ht="12.75" outlineLevel="1">
      <c r="A39" s="132">
        <v>41913</v>
      </c>
      <c r="B39" s="44">
        <v>12500000</v>
      </c>
      <c r="C39" s="135">
        <f t="shared" si="0"/>
        <v>1643320.6293775127</v>
      </c>
      <c r="D39" s="135">
        <f t="shared" si="1"/>
        <v>163208609.46640584</v>
      </c>
    </row>
    <row r="40" spans="1:4" ht="12.75" outlineLevel="1">
      <c r="A40" s="132">
        <v>41944</v>
      </c>
      <c r="B40" s="44">
        <v>12500000</v>
      </c>
      <c r="C40" s="135">
        <f t="shared" si="0"/>
        <v>1540824.5757675068</v>
      </c>
      <c r="D40" s="135">
        <f t="shared" si="1"/>
        <v>152249434.04217336</v>
      </c>
    </row>
    <row r="41" spans="1:5" ht="12.75" outlineLevel="1">
      <c r="A41" s="134">
        <v>41974</v>
      </c>
      <c r="B41" s="184">
        <v>12500000</v>
      </c>
      <c r="C41" s="136">
        <f t="shared" si="0"/>
        <v>1437360.8744406446</v>
      </c>
      <c r="D41" s="136">
        <f t="shared" si="1"/>
        <v>141186794.916614</v>
      </c>
      <c r="E41" s="129" t="s">
        <v>811</v>
      </c>
    </row>
    <row r="42" spans="1:4" ht="12.75" outlineLevel="1">
      <c r="A42" s="132">
        <v>42005</v>
      </c>
      <c r="B42" s="44">
        <v>12500000</v>
      </c>
      <c r="C42" s="135">
        <f t="shared" si="0"/>
        <v>1332920.3900002842</v>
      </c>
      <c r="D42" s="135">
        <f t="shared" si="1"/>
        <v>130019715.30661428</v>
      </c>
    </row>
    <row r="43" spans="1:4" ht="12.75" outlineLevel="1">
      <c r="A43" s="132">
        <v>42036</v>
      </c>
      <c r="B43" s="44">
        <v>12500000</v>
      </c>
      <c r="C43" s="135">
        <f t="shared" si="0"/>
        <v>1227493.9008040663</v>
      </c>
      <c r="D43" s="135">
        <f t="shared" si="1"/>
        <v>118747209.20741835</v>
      </c>
    </row>
    <row r="44" spans="1:4" ht="12.75" outlineLevel="1">
      <c r="A44" s="132">
        <v>42064</v>
      </c>
      <c r="B44" s="44">
        <v>12500000</v>
      </c>
      <c r="C44" s="135">
        <f t="shared" si="0"/>
        <v>1121072.0981496826</v>
      </c>
      <c r="D44" s="135">
        <f t="shared" si="1"/>
        <v>107368281.30556804</v>
      </c>
    </row>
    <row r="45" spans="1:4" ht="12.75" outlineLevel="1">
      <c r="A45" s="132">
        <v>42095</v>
      </c>
      <c r="B45" s="44">
        <v>12500000</v>
      </c>
      <c r="C45" s="135">
        <f t="shared" si="0"/>
        <v>1013645.5854529585</v>
      </c>
      <c r="D45" s="135">
        <f t="shared" si="1"/>
        <v>95881926.891021</v>
      </c>
    </row>
    <row r="46" spans="1:4" ht="12.75" outlineLevel="1">
      <c r="A46" s="132">
        <v>42125</v>
      </c>
      <c r="B46" s="44">
        <v>12500000</v>
      </c>
      <c r="C46" s="135">
        <f t="shared" si="0"/>
        <v>905204.8774181741</v>
      </c>
      <c r="D46" s="135">
        <f t="shared" si="1"/>
        <v>84287131.76843917</v>
      </c>
    </row>
    <row r="47" spans="1:4" ht="12.75" outlineLevel="1">
      <c r="A47" s="132">
        <v>42156</v>
      </c>
      <c r="B47" s="44">
        <v>12500000</v>
      </c>
      <c r="C47" s="135">
        <f t="shared" si="0"/>
        <v>795740.3992005548</v>
      </c>
      <c r="D47" s="135">
        <f t="shared" si="1"/>
        <v>72582872.16763973</v>
      </c>
    </row>
    <row r="48" spans="1:4" ht="12.75" outlineLevel="1">
      <c r="A48" s="132">
        <v>42186</v>
      </c>
      <c r="B48" s="44">
        <v>12500000</v>
      </c>
      <c r="C48" s="135">
        <f t="shared" si="0"/>
        <v>685242.4855608541</v>
      </c>
      <c r="D48" s="135">
        <f t="shared" si="1"/>
        <v>60768114.65320058</v>
      </c>
    </row>
    <row r="49" spans="1:4" ht="12.75" outlineLevel="1">
      <c r="A49" s="132">
        <v>42217</v>
      </c>
      <c r="B49" s="44">
        <v>12500000</v>
      </c>
      <c r="C49" s="135">
        <f t="shared" si="0"/>
        <v>573701.3800119534</v>
      </c>
      <c r="D49" s="135">
        <f t="shared" si="1"/>
        <v>48841816.033212535</v>
      </c>
    </row>
    <row r="50" spans="1:4" ht="12.75" outlineLevel="1">
      <c r="A50" s="132">
        <v>42248</v>
      </c>
      <c r="B50" s="44">
        <v>12500000</v>
      </c>
      <c r="C50" s="135">
        <f t="shared" si="0"/>
        <v>461107.2339574085</v>
      </c>
      <c r="D50" s="135">
        <f t="shared" si="1"/>
        <v>36802923.267169945</v>
      </c>
    </row>
    <row r="51" spans="1:4" ht="12.75" outlineLevel="1">
      <c r="A51" s="132">
        <v>42278</v>
      </c>
      <c r="B51" s="44">
        <v>12500000</v>
      </c>
      <c r="C51" s="135">
        <f t="shared" si="0"/>
        <v>347450.10582185944</v>
      </c>
      <c r="D51" s="135">
        <f t="shared" si="1"/>
        <v>24650373.372991808</v>
      </c>
    </row>
    <row r="52" spans="1:4" ht="12.75" outlineLevel="1">
      <c r="A52" s="132">
        <v>42309</v>
      </c>
      <c r="B52" s="44">
        <v>12500000</v>
      </c>
      <c r="C52" s="135">
        <f t="shared" si="0"/>
        <v>232719.96017323327</v>
      </c>
      <c r="D52" s="135">
        <f t="shared" si="1"/>
        <v>12383093.333165042</v>
      </c>
    </row>
    <row r="53" spans="1:4" ht="12.75" outlineLevel="1">
      <c r="A53" s="132">
        <v>42339</v>
      </c>
      <c r="B53" s="44">
        <v>12500000</v>
      </c>
      <c r="C53" s="135">
        <f t="shared" si="0"/>
        <v>116906.66683665881</v>
      </c>
      <c r="D53" s="136">
        <f t="shared" si="1"/>
        <v>1.7005950212478638E-06</v>
      </c>
    </row>
    <row r="54" spans="1:4" ht="12.75" outlineLevel="1">
      <c r="A54" s="130" t="s">
        <v>303</v>
      </c>
      <c r="B54" s="133">
        <f>+IRR(B17:B53)</f>
        <v>0.009440829015118002</v>
      </c>
      <c r="C54" s="135"/>
      <c r="D54" s="135"/>
    </row>
    <row r="55" spans="1:3" ht="12.75" outlineLevel="1">
      <c r="A55" s="138" t="s">
        <v>311</v>
      </c>
      <c r="B55" s="143">
        <f>+NPV(1%,B18:B53)</f>
        <v>376343812.9659261</v>
      </c>
      <c r="C55" s="144"/>
    </row>
    <row r="56" spans="2:8" ht="12.75" outlineLevel="1">
      <c r="B56" s="185">
        <f>+NPV(B54,B18:B53)</f>
        <v>379999999.9999988</v>
      </c>
      <c r="D56" s="131"/>
      <c r="G56" t="s">
        <v>680</v>
      </c>
      <c r="H56" t="s">
        <v>681</v>
      </c>
    </row>
    <row r="57" spans="1:8" ht="12.75" outlineLevel="1">
      <c r="A57" s="129" t="s">
        <v>305</v>
      </c>
      <c r="H57" t="s">
        <v>682</v>
      </c>
    </row>
    <row r="58" ht="12.75" outlineLevel="1"/>
    <row r="59" spans="1:8" ht="12.75" outlineLevel="1">
      <c r="A59" s="129" t="s">
        <v>684</v>
      </c>
      <c r="C59" s="185">
        <f>+B56</f>
        <v>379999999.9999988</v>
      </c>
      <c r="D59" s="135"/>
      <c r="E59" s="129" t="s">
        <v>307</v>
      </c>
      <c r="H59" t="s">
        <v>683</v>
      </c>
    </row>
    <row r="60" spans="1:5" ht="12.75" outlineLevel="1">
      <c r="A60" s="129" t="s">
        <v>306</v>
      </c>
      <c r="C60" s="185">
        <f>+C59/36*24</f>
        <v>253333333.33333254</v>
      </c>
      <c r="D60" s="135"/>
      <c r="E60" s="129" t="s">
        <v>308</v>
      </c>
    </row>
    <row r="61" spans="1:4" ht="12.75" outlineLevel="1">
      <c r="A61" s="129" t="s">
        <v>309</v>
      </c>
      <c r="C61" s="185"/>
      <c r="D61" s="135"/>
    </row>
    <row r="62" spans="1:6" ht="12.75" outlineLevel="1">
      <c r="A62" s="130" t="s">
        <v>310</v>
      </c>
      <c r="B62" s="130"/>
      <c r="C62" s="186">
        <f>+C59-C60</f>
        <v>126666666.66666627</v>
      </c>
      <c r="D62" s="137"/>
      <c r="E62" s="130" t="s">
        <v>678</v>
      </c>
      <c r="F62" t="s">
        <v>679</v>
      </c>
    </row>
    <row r="63" ht="12.75" outlineLevel="1">
      <c r="D63" s="135"/>
    </row>
    <row r="64" s="138" customFormat="1" ht="12.75" outlineLevel="1"/>
    <row r="65" ht="12.75" outlineLevel="1"/>
    <row r="66" spans="1:3" ht="12.75" outlineLevel="1">
      <c r="A66" t="s">
        <v>593</v>
      </c>
      <c r="B66" s="44">
        <v>12000</v>
      </c>
      <c r="C66" s="44">
        <f>+B66+380</f>
        <v>12380</v>
      </c>
    </row>
    <row r="67" spans="1:3" ht="12.75" outlineLevel="1">
      <c r="A67" t="s">
        <v>32</v>
      </c>
      <c r="B67" s="44">
        <v>5000</v>
      </c>
      <c r="C67" s="44">
        <f>+B67+380</f>
        <v>5380</v>
      </c>
    </row>
    <row r="68" spans="1:3" ht="12.75" outlineLevel="1">
      <c r="A68" t="s">
        <v>36</v>
      </c>
      <c r="B68" s="44">
        <v>7000</v>
      </c>
      <c r="C68" s="44">
        <v>7000</v>
      </c>
    </row>
    <row r="69" spans="1:3" ht="12.75" outlineLevel="1">
      <c r="A69" s="129" t="s">
        <v>594</v>
      </c>
      <c r="B69" s="187">
        <f>+B67/B66</f>
        <v>0.4166666666666667</v>
      </c>
      <c r="C69" s="187">
        <f>+C67/C66</f>
        <v>0.4345718901453958</v>
      </c>
    </row>
    <row r="70" ht="12.75" outlineLevel="1"/>
    <row r="71" ht="12.75" outlineLevel="1"/>
    <row r="72" spans="2:5" ht="12.75" outlineLevel="1">
      <c r="B72" s="129" t="s">
        <v>683</v>
      </c>
      <c r="C72" s="129" t="s">
        <v>812</v>
      </c>
      <c r="D72">
        <v>-12.5</v>
      </c>
      <c r="E72">
        <f>-E74-E75</f>
        <v>-11.992916429996166</v>
      </c>
    </row>
    <row r="73" ht="12.75" outlineLevel="1">
      <c r="C73" s="129" t="s">
        <v>813</v>
      </c>
    </row>
    <row r="74" spans="3:5" ht="12.75" outlineLevel="1">
      <c r="C74" s="129" t="s">
        <v>74</v>
      </c>
      <c r="E74">
        <f>+C41/1000000</f>
        <v>1.4373608744406445</v>
      </c>
    </row>
    <row r="75" spans="3:5" ht="12.75" outlineLevel="1">
      <c r="C75" s="129" t="s">
        <v>721</v>
      </c>
      <c r="E75">
        <f>+C59/36/1000000</f>
        <v>10.555555555555522</v>
      </c>
    </row>
    <row r="76" ht="12.75" outlineLevel="1">
      <c r="C76" s="129" t="s">
        <v>814</v>
      </c>
    </row>
    <row r="77" spans="4:5" ht="12.75">
      <c r="D77" s="130">
        <f>+SUM(D72:D76)</f>
        <v>-12.5</v>
      </c>
      <c r="E77" s="130">
        <f>+SUM(E72:E76)</f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1"/>
  <sheetViews>
    <sheetView showGridLines="0" zoomScale="160" zoomScaleNormal="160" zoomScalePageLayoutView="0" workbookViewId="0" topLeftCell="A1">
      <pane ySplit="1" topLeftCell="A49" activePane="bottomLeft" state="frozen"/>
      <selection pane="topLeft" activeCell="A1" sqref="A1"/>
      <selection pane="bottomLeft" activeCell="B44" sqref="B44"/>
    </sheetView>
  </sheetViews>
  <sheetFormatPr defaultColWidth="11.421875" defaultRowHeight="12.75"/>
  <cols>
    <col min="1" max="1" width="11.421875" style="2" customWidth="1"/>
    <col min="2" max="2" width="29.421875" style="2" customWidth="1"/>
    <col min="3" max="3" width="20.421875" style="2" customWidth="1"/>
    <col min="4" max="6" width="18.140625" style="2" customWidth="1"/>
    <col min="7" max="7" width="20.57421875" style="2" customWidth="1"/>
    <col min="8" max="8" width="18.140625" style="2" customWidth="1"/>
    <col min="9" max="9" width="20.57421875" style="2" customWidth="1"/>
    <col min="10" max="10" width="15.7109375" style="2" customWidth="1"/>
    <col min="11" max="11" width="22.421875" style="2" customWidth="1"/>
    <col min="12" max="12" width="19.00390625" style="2" customWidth="1"/>
    <col min="13" max="13" width="19.57421875" style="2" customWidth="1"/>
    <col min="14" max="15" width="17.57421875" style="2" customWidth="1"/>
    <col min="16" max="18" width="19.57421875" style="2" customWidth="1"/>
    <col min="19" max="19" width="11.421875" style="2" customWidth="1"/>
    <col min="20" max="20" width="19.8515625" style="2" customWidth="1"/>
    <col min="21" max="21" width="11.421875" style="2" customWidth="1"/>
    <col min="22" max="22" width="17.140625" style="2" customWidth="1"/>
    <col min="23" max="23" width="22.00390625" style="2" customWidth="1"/>
    <col min="24" max="28" width="11.421875" style="2" customWidth="1"/>
    <col min="29" max="29" width="19.28125" style="13" bestFit="1" customWidth="1"/>
    <col min="30" max="30" width="11.421875" style="13" customWidth="1"/>
    <col min="31" max="16384" width="11.421875" style="2" customWidth="1"/>
  </cols>
  <sheetData>
    <row r="1" spans="1:30" s="79" customFormat="1" ht="55.5" customHeight="1">
      <c r="A1" s="81" t="s">
        <v>170</v>
      </c>
      <c r="B1" s="80"/>
      <c r="C1" s="81" t="s">
        <v>171</v>
      </c>
      <c r="AC1" s="116"/>
      <c r="AD1" s="116"/>
    </row>
    <row r="2" spans="6:9" ht="14.25">
      <c r="F2" s="2" t="s">
        <v>514</v>
      </c>
      <c r="G2" s="13">
        <v>125</v>
      </c>
      <c r="I2" s="2" t="s">
        <v>825</v>
      </c>
    </row>
    <row r="3" spans="6:9" ht="14.25">
      <c r="F3" s="2" t="s">
        <v>823</v>
      </c>
      <c r="G3" s="13" t="s">
        <v>0</v>
      </c>
      <c r="H3" s="13">
        <v>125</v>
      </c>
      <c r="I3" s="13"/>
    </row>
    <row r="4" spans="1:10" ht="15">
      <c r="A4" s="1" t="s">
        <v>199</v>
      </c>
      <c r="H4" s="13"/>
      <c r="I4" s="13" t="s">
        <v>826</v>
      </c>
      <c r="J4" s="258">
        <f>+H5-G2</f>
        <v>3375</v>
      </c>
    </row>
    <row r="5" spans="6:9" ht="14.25">
      <c r="F5" s="2" t="s">
        <v>514</v>
      </c>
      <c r="H5" s="2">
        <v>3500</v>
      </c>
      <c r="I5" s="188"/>
    </row>
    <row r="6" spans="6:7" ht="14.25">
      <c r="F6" s="2" t="s">
        <v>824</v>
      </c>
      <c r="G6" s="2">
        <v>3500</v>
      </c>
    </row>
    <row r="7" spans="10:23" ht="15">
      <c r="J7" s="266" t="s">
        <v>201</v>
      </c>
      <c r="K7" s="266"/>
      <c r="L7" s="266"/>
      <c r="M7" s="266"/>
      <c r="O7" s="266" t="s">
        <v>203</v>
      </c>
      <c r="P7" s="266"/>
      <c r="Q7" s="266"/>
      <c r="R7" s="266"/>
      <c r="V7" s="266" t="s">
        <v>204</v>
      </c>
      <c r="W7" s="266"/>
    </row>
    <row r="8" spans="1:23" ht="15">
      <c r="A8" s="1" t="s">
        <v>200</v>
      </c>
      <c r="B8" s="1"/>
      <c r="F8" s="267" t="s">
        <v>822</v>
      </c>
      <c r="G8" s="268"/>
      <c r="H8" s="269"/>
      <c r="I8" s="22"/>
      <c r="J8" s="73" t="s">
        <v>202</v>
      </c>
      <c r="K8" s="70" t="s">
        <v>73</v>
      </c>
      <c r="L8" s="70" t="s">
        <v>137</v>
      </c>
      <c r="M8" s="70" t="s">
        <v>85</v>
      </c>
      <c r="O8" s="73" t="s">
        <v>202</v>
      </c>
      <c r="P8" s="70" t="s">
        <v>73</v>
      </c>
      <c r="Q8" s="70" t="s">
        <v>137</v>
      </c>
      <c r="R8" s="70" t="s">
        <v>85</v>
      </c>
      <c r="V8" s="73" t="s">
        <v>202</v>
      </c>
      <c r="W8" s="70" t="s">
        <v>137</v>
      </c>
    </row>
    <row r="9" spans="1:23" ht="15">
      <c r="A9" s="69" t="s">
        <v>147</v>
      </c>
      <c r="B9" s="69" t="s">
        <v>1</v>
      </c>
      <c r="C9" s="84" t="s">
        <v>232</v>
      </c>
      <c r="D9" s="70" t="s">
        <v>37</v>
      </c>
      <c r="E9" s="93" t="s">
        <v>145</v>
      </c>
      <c r="F9" s="270"/>
      <c r="G9" s="271"/>
      <c r="H9" s="272"/>
      <c r="I9" s="22"/>
      <c r="J9" s="5"/>
      <c r="K9" s="14">
        <f>+P9+125000000</f>
        <v>-3375000000</v>
      </c>
      <c r="L9" s="14"/>
      <c r="M9" s="14">
        <f>-K9</f>
        <v>3375000000</v>
      </c>
      <c r="O9" s="5"/>
      <c r="P9" s="14">
        <f>(3500000000)*-1</f>
        <v>-3500000000</v>
      </c>
      <c r="Q9" s="14"/>
      <c r="R9" s="14">
        <f>-P9</f>
        <v>3500000000</v>
      </c>
      <c r="T9" s="73" t="s">
        <v>205</v>
      </c>
      <c r="V9" s="5"/>
      <c r="W9" s="14"/>
    </row>
    <row r="10" spans="1:23" ht="15">
      <c r="A10" s="5"/>
      <c r="B10" s="3" t="s">
        <v>33</v>
      </c>
      <c r="C10" s="8">
        <f>+C11</f>
        <v>2044654975.1177564</v>
      </c>
      <c r="D10" s="8">
        <f>+D11</f>
        <v>-44763884.72125435</v>
      </c>
      <c r="E10" s="8">
        <f>+E11</f>
        <v>1999891090.396502</v>
      </c>
      <c r="F10" s="270"/>
      <c r="G10" s="271"/>
      <c r="H10" s="272"/>
      <c r="I10" s="22"/>
      <c r="J10" s="177">
        <v>41244</v>
      </c>
      <c r="K10" s="94">
        <f aca="true" t="shared" si="0" ref="K10:K15">+P10</f>
        <v>851290014.4862026</v>
      </c>
      <c r="L10" s="14">
        <f aca="true" t="shared" si="1" ref="L10:L15">+M9*$K$16</f>
        <v>448814893.2001167</v>
      </c>
      <c r="M10" s="14">
        <f aca="true" t="shared" si="2" ref="M10:M15">+M9+L10-K10</f>
        <v>2972524878.713914</v>
      </c>
      <c r="O10" s="177">
        <f aca="true" t="shared" si="3" ref="O10:O15">+J10</f>
        <v>41244</v>
      </c>
      <c r="P10" s="94">
        <f>-T10</f>
        <v>851290014.4862026</v>
      </c>
      <c r="Q10" s="14">
        <f aca="true" t="shared" si="4" ref="Q10:Q15">+R9*$P$16</f>
        <v>419999999.9999996</v>
      </c>
      <c r="R10" s="14">
        <f aca="true" t="shared" si="5" ref="R10:R15">+R9+Q10-P10</f>
        <v>3068709985.513797</v>
      </c>
      <c r="T10" s="96">
        <f>+PMT(12%,6,3500000000,0,0)</f>
        <v>-851290014.4862026</v>
      </c>
      <c r="V10" s="177">
        <f aca="true" t="shared" si="6" ref="V10:V15">+O10</f>
        <v>41244</v>
      </c>
      <c r="W10" s="14">
        <f aca="true" t="shared" si="7" ref="W10:W15">+Q10-L10</f>
        <v>-28814893.20011711</v>
      </c>
    </row>
    <row r="11" spans="1:23" ht="14.25">
      <c r="A11" s="5">
        <v>210510</v>
      </c>
      <c r="B11" s="20" t="s">
        <v>33</v>
      </c>
      <c r="C11" s="6">
        <f>+R12</f>
        <v>2044654975.1177564</v>
      </c>
      <c r="D11" s="6">
        <f>+E11-C11</f>
        <v>-44763884.72125435</v>
      </c>
      <c r="E11" s="92">
        <f>+M12</f>
        <v>1999891090.396502</v>
      </c>
      <c r="F11" s="270"/>
      <c r="G11" s="271"/>
      <c r="H11" s="272"/>
      <c r="I11" s="22"/>
      <c r="J11" s="177">
        <v>41609</v>
      </c>
      <c r="K11" s="94">
        <f t="shared" si="0"/>
        <v>851290014.4862026</v>
      </c>
      <c r="L11" s="14">
        <f t="shared" si="1"/>
        <v>395292869.9184223</v>
      </c>
      <c r="M11" s="14">
        <f t="shared" si="2"/>
        <v>2516527734.1461334</v>
      </c>
      <c r="O11" s="177">
        <f t="shared" si="3"/>
        <v>41609</v>
      </c>
      <c r="P11" s="94">
        <f>+P10</f>
        <v>851290014.4862026</v>
      </c>
      <c r="Q11" s="14">
        <f t="shared" si="4"/>
        <v>368245198.2616553</v>
      </c>
      <c r="R11" s="14">
        <f t="shared" si="5"/>
        <v>2585665169.2892494</v>
      </c>
      <c r="V11" s="177">
        <f t="shared" si="6"/>
        <v>41609</v>
      </c>
      <c r="W11" s="14">
        <f t="shared" si="7"/>
        <v>-27047671.65676701</v>
      </c>
    </row>
    <row r="12" spans="6:23" ht="14.25">
      <c r="F12" s="273"/>
      <c r="G12" s="274"/>
      <c r="H12" s="275"/>
      <c r="I12" s="22"/>
      <c r="J12" s="178">
        <v>41974</v>
      </c>
      <c r="K12" s="95">
        <f t="shared" si="0"/>
        <v>851290014.4862026</v>
      </c>
      <c r="L12" s="43">
        <f t="shared" si="1"/>
        <v>334653370.73657143</v>
      </c>
      <c r="M12" s="43">
        <f t="shared" si="2"/>
        <v>1999891090.396502</v>
      </c>
      <c r="O12" s="178">
        <f t="shared" si="3"/>
        <v>41974</v>
      </c>
      <c r="P12" s="95">
        <f>+P11</f>
        <v>851290014.4862026</v>
      </c>
      <c r="Q12" s="43">
        <f t="shared" si="4"/>
        <v>310279820.3147096</v>
      </c>
      <c r="R12" s="43">
        <f t="shared" si="5"/>
        <v>2044654975.1177564</v>
      </c>
      <c r="V12" s="178">
        <f t="shared" si="6"/>
        <v>41974</v>
      </c>
      <c r="W12" s="14">
        <f t="shared" si="7"/>
        <v>-24373550.421861827</v>
      </c>
    </row>
    <row r="13" spans="10:23" ht="14.25">
      <c r="J13" s="177">
        <v>42339</v>
      </c>
      <c r="K13" s="94">
        <f t="shared" si="0"/>
        <v>851290014.4862026</v>
      </c>
      <c r="L13" s="14">
        <f t="shared" si="1"/>
        <v>265949898.11797658</v>
      </c>
      <c r="M13" s="14">
        <f t="shared" si="2"/>
        <v>1414550974.028276</v>
      </c>
      <c r="O13" s="177">
        <f t="shared" si="3"/>
        <v>42339</v>
      </c>
      <c r="P13" s="94">
        <f>+P12</f>
        <v>851290014.4862026</v>
      </c>
      <c r="Q13" s="14">
        <f t="shared" si="4"/>
        <v>245358597.01413053</v>
      </c>
      <c r="R13" s="14">
        <f t="shared" si="5"/>
        <v>1438723557.6456842</v>
      </c>
      <c r="V13" s="177">
        <f t="shared" si="6"/>
        <v>42339</v>
      </c>
      <c r="W13" s="14">
        <f t="shared" si="7"/>
        <v>-20591301.103846043</v>
      </c>
    </row>
    <row r="14" spans="10:23" ht="14.25">
      <c r="J14" s="177">
        <v>42705</v>
      </c>
      <c r="K14" s="94">
        <f t="shared" si="0"/>
        <v>851290014.4862026</v>
      </c>
      <c r="L14" s="14">
        <f t="shared" si="1"/>
        <v>188110087.21025828</v>
      </c>
      <c r="M14" s="14">
        <f t="shared" si="2"/>
        <v>751371046.7523316</v>
      </c>
      <c r="O14" s="177">
        <f t="shared" si="3"/>
        <v>42705</v>
      </c>
      <c r="P14" s="94">
        <f>+P13</f>
        <v>851290014.4862026</v>
      </c>
      <c r="Q14" s="14">
        <f t="shared" si="4"/>
        <v>172646826.91748193</v>
      </c>
      <c r="R14" s="14">
        <f t="shared" si="5"/>
        <v>760080370.0769635</v>
      </c>
      <c r="V14" s="177">
        <f t="shared" si="6"/>
        <v>42705</v>
      </c>
      <c r="W14" s="14">
        <f t="shared" si="7"/>
        <v>-15463260.292776346</v>
      </c>
    </row>
    <row r="15" spans="8:23" ht="14.25">
      <c r="H15" s="13"/>
      <c r="J15" s="177">
        <v>43070</v>
      </c>
      <c r="K15" s="94">
        <f t="shared" si="0"/>
        <v>851290014.4862026</v>
      </c>
      <c r="L15" s="14">
        <f t="shared" si="1"/>
        <v>99918967.73386891</v>
      </c>
      <c r="M15" s="14">
        <f t="shared" si="2"/>
        <v>-2.0265579223632812E-06</v>
      </c>
      <c r="O15" s="177">
        <f t="shared" si="3"/>
        <v>43070</v>
      </c>
      <c r="P15" s="94">
        <f>+P14</f>
        <v>851290014.4862026</v>
      </c>
      <c r="Q15" s="14">
        <f t="shared" si="4"/>
        <v>91209644.40923554</v>
      </c>
      <c r="R15" s="43">
        <f t="shared" si="5"/>
        <v>-3.4570693969726562E-06</v>
      </c>
      <c r="V15" s="177">
        <f t="shared" si="6"/>
        <v>43070</v>
      </c>
      <c r="W15" s="14">
        <f t="shared" si="7"/>
        <v>-8709323.324633375</v>
      </c>
    </row>
    <row r="16" spans="6:23" ht="15">
      <c r="F16" s="1" t="s">
        <v>258</v>
      </c>
      <c r="H16" s="13"/>
      <c r="J16" s="1" t="s">
        <v>2</v>
      </c>
      <c r="K16" s="97">
        <f>+IRR(K9:K15)</f>
        <v>0.13298219057781235</v>
      </c>
      <c r="L16" s="47" t="s">
        <v>3</v>
      </c>
      <c r="M16" s="13"/>
      <c r="N16" s="13"/>
      <c r="O16" s="1" t="s">
        <v>206</v>
      </c>
      <c r="P16" s="97">
        <f>+IRR(P9:P15)</f>
        <v>0.11999999999999988</v>
      </c>
      <c r="Q16" s="47" t="s">
        <v>3</v>
      </c>
      <c r="R16" s="13"/>
      <c r="W16" s="47"/>
    </row>
    <row r="17" spans="8:16" ht="14.25">
      <c r="H17" s="13"/>
      <c r="N17" s="13"/>
      <c r="P17" s="126"/>
    </row>
    <row r="18" spans="8:14" ht="14.25">
      <c r="H18" s="13"/>
      <c r="N18" s="13"/>
    </row>
    <row r="19" spans="1:23" ht="15">
      <c r="A19" s="72" t="s">
        <v>209</v>
      </c>
      <c r="B19" s="71"/>
      <c r="C19" s="71"/>
      <c r="D19" s="71"/>
      <c r="E19" s="71"/>
      <c r="H19" s="13"/>
      <c r="N19" s="13"/>
      <c r="W19" s="9">
        <f>+SUM(W10:W15)</f>
        <v>-125000000.00000171</v>
      </c>
    </row>
    <row r="20" spans="1:14" ht="15">
      <c r="A20" s="69" t="s">
        <v>147</v>
      </c>
      <c r="B20" s="69" t="s">
        <v>1</v>
      </c>
      <c r="C20" s="84" t="s">
        <v>232</v>
      </c>
      <c r="D20" s="70" t="s">
        <v>37</v>
      </c>
      <c r="E20" s="84" t="s">
        <v>145</v>
      </c>
      <c r="H20" s="13"/>
      <c r="N20" s="13"/>
    </row>
    <row r="21" spans="1:14" ht="15">
      <c r="A21" s="276" t="s">
        <v>4</v>
      </c>
      <c r="B21" s="277"/>
      <c r="C21" s="76">
        <f>SUM(C22:C28)</f>
        <v>1206646000</v>
      </c>
      <c r="D21" s="76">
        <f>SUM(D22:D28)</f>
        <v>-125600000</v>
      </c>
      <c r="E21" s="76">
        <f>SUM(E22:E28)</f>
        <v>1081046000</v>
      </c>
      <c r="G21" s="13"/>
      <c r="H21" s="13"/>
      <c r="N21" s="13"/>
    </row>
    <row r="22" spans="1:17" ht="14.25">
      <c r="A22" s="5">
        <v>2205</v>
      </c>
      <c r="B22" s="20" t="s">
        <v>86</v>
      </c>
      <c r="C22" s="6">
        <v>652000000</v>
      </c>
      <c r="D22" s="6"/>
      <c r="E22" s="6">
        <f>+C22+D22</f>
        <v>652000000</v>
      </c>
      <c r="G22" s="13"/>
      <c r="H22" s="13"/>
      <c r="N22" s="13"/>
      <c r="Q22" s="9"/>
    </row>
    <row r="23" spans="1:17" ht="14.25">
      <c r="A23" s="5">
        <v>2365</v>
      </c>
      <c r="B23" s="20" t="s">
        <v>41</v>
      </c>
      <c r="C23" s="6">
        <v>26500000</v>
      </c>
      <c r="D23" s="6"/>
      <c r="E23" s="6">
        <f aca="true" t="shared" si="8" ref="E23:E28">+C23+D23</f>
        <v>26500000</v>
      </c>
      <c r="G23" s="13"/>
      <c r="N23" s="13"/>
      <c r="Q23" s="12"/>
    </row>
    <row r="24" spans="1:30" s="22" customFormat="1" ht="15">
      <c r="A24" s="5">
        <v>237010</v>
      </c>
      <c r="B24" s="20" t="s">
        <v>132</v>
      </c>
      <c r="C24" s="6">
        <v>36250000</v>
      </c>
      <c r="D24" s="6"/>
      <c r="E24" s="6">
        <f t="shared" si="8"/>
        <v>36250000</v>
      </c>
      <c r="F24" s="2"/>
      <c r="G24" s="13"/>
      <c r="N24" s="50"/>
      <c r="O24" s="2"/>
      <c r="P24" s="57"/>
      <c r="Q24" s="58"/>
      <c r="R24" s="118"/>
      <c r="AC24" s="50"/>
      <c r="AD24" s="50"/>
    </row>
    <row r="25" spans="1:30" s="22" customFormat="1" ht="14.25">
      <c r="A25" s="5">
        <v>237005</v>
      </c>
      <c r="B25" s="20" t="s">
        <v>323</v>
      </c>
      <c r="C25" s="6">
        <v>63250000</v>
      </c>
      <c r="D25" s="6"/>
      <c r="E25" s="6">
        <f t="shared" si="8"/>
        <v>63250000</v>
      </c>
      <c r="F25" s="2"/>
      <c r="G25" s="2" t="s">
        <v>238</v>
      </c>
      <c r="I25" s="26">
        <v>1256000</v>
      </c>
      <c r="M25" s="52"/>
      <c r="N25" s="52"/>
      <c r="AC25" s="50"/>
      <c r="AD25" s="50"/>
    </row>
    <row r="26" spans="1:30" s="22" customFormat="1" ht="15">
      <c r="A26" s="5">
        <v>237045</v>
      </c>
      <c r="B26" s="20" t="s">
        <v>151</v>
      </c>
      <c r="C26" s="6">
        <v>176523000</v>
      </c>
      <c r="D26" s="6"/>
      <c r="E26" s="6">
        <f t="shared" si="8"/>
        <v>176523000</v>
      </c>
      <c r="F26" s="2"/>
      <c r="G26" s="2" t="s">
        <v>238</v>
      </c>
      <c r="I26" s="26">
        <f>+C26*0.75</f>
        <v>132392250</v>
      </c>
      <c r="L26" s="51"/>
      <c r="N26" s="54"/>
      <c r="O26" s="119"/>
      <c r="P26" s="57"/>
      <c r="Q26" s="120"/>
      <c r="AC26" s="50"/>
      <c r="AD26" s="50"/>
    </row>
    <row r="27" spans="1:30" s="22" customFormat="1" ht="14.25">
      <c r="A27" s="5">
        <v>2404</v>
      </c>
      <c r="B27" s="20" t="s">
        <v>131</v>
      </c>
      <c r="C27" s="6">
        <v>125600000</v>
      </c>
      <c r="D27" s="6">
        <f>-C27</f>
        <v>-125600000</v>
      </c>
      <c r="E27" s="6">
        <f t="shared" si="8"/>
        <v>0</v>
      </c>
      <c r="F27" s="2" t="s">
        <v>515</v>
      </c>
      <c r="G27" s="13"/>
      <c r="I27" s="29"/>
      <c r="L27" s="51"/>
      <c r="N27" s="54"/>
      <c r="O27" s="50"/>
      <c r="AC27" s="50"/>
      <c r="AD27" s="50"/>
    </row>
    <row r="28" spans="1:15" ht="13.5" customHeight="1">
      <c r="A28" s="5">
        <v>2412</v>
      </c>
      <c r="B28" s="20" t="s">
        <v>46</v>
      </c>
      <c r="C28" s="6">
        <v>126523000</v>
      </c>
      <c r="D28" s="6"/>
      <c r="E28" s="6">
        <f t="shared" si="8"/>
        <v>126523000</v>
      </c>
      <c r="G28" s="13"/>
      <c r="I28" s="16"/>
      <c r="L28" s="51"/>
      <c r="N28" s="54"/>
      <c r="O28" s="50"/>
    </row>
    <row r="29" spans="2:15" ht="14.25">
      <c r="B29" s="22"/>
      <c r="C29" s="24"/>
      <c r="D29" s="24"/>
      <c r="E29" s="24"/>
      <c r="L29" s="51"/>
      <c r="N29" s="54"/>
      <c r="O29" s="50"/>
    </row>
    <row r="30" spans="12:16" ht="14.25">
      <c r="L30" s="51"/>
      <c r="M30" s="51"/>
      <c r="N30" s="51"/>
      <c r="O30" s="51"/>
      <c r="P30" s="51"/>
    </row>
    <row r="31" spans="12:16" ht="14.25">
      <c r="L31" s="51"/>
      <c r="M31" s="51"/>
      <c r="N31" s="51"/>
      <c r="O31" s="51"/>
      <c r="P31" s="51"/>
    </row>
    <row r="32" spans="11:16" ht="14.25">
      <c r="K32" s="53"/>
      <c r="L32" s="51"/>
      <c r="M32" s="51"/>
      <c r="N32" s="51"/>
      <c r="O32" s="51"/>
      <c r="P32" s="51"/>
    </row>
    <row r="33" spans="1:16" ht="15">
      <c r="A33" s="72" t="s">
        <v>211</v>
      </c>
      <c r="B33" s="71"/>
      <c r="C33" s="71"/>
      <c r="D33" s="71"/>
      <c r="E33" s="71"/>
      <c r="K33" s="18"/>
      <c r="L33" s="51"/>
      <c r="M33" s="51"/>
      <c r="N33" s="51"/>
      <c r="O33" s="51"/>
      <c r="P33" s="51"/>
    </row>
    <row r="34" spans="1:16" ht="15">
      <c r="A34" s="68"/>
      <c r="B34" s="69" t="s">
        <v>1</v>
      </c>
      <c r="C34" s="84" t="s">
        <v>232</v>
      </c>
      <c r="D34" s="70" t="s">
        <v>37</v>
      </c>
      <c r="E34" s="84" t="s">
        <v>145</v>
      </c>
      <c r="L34" s="51"/>
      <c r="M34" s="51"/>
      <c r="N34" s="51"/>
      <c r="O34" s="51"/>
      <c r="P34" s="51"/>
    </row>
    <row r="35" spans="1:16" ht="15">
      <c r="A35" s="11" t="s">
        <v>147</v>
      </c>
      <c r="B35" s="3" t="s">
        <v>35</v>
      </c>
      <c r="C35" s="8">
        <f>SUM(C36)</f>
        <v>47813302.777777776</v>
      </c>
      <c r="D35" s="8">
        <f>SUM(D36)</f>
        <v>35936721.03408055</v>
      </c>
      <c r="E35" s="8">
        <f>SUM(E36)</f>
        <v>83750023.81185833</v>
      </c>
      <c r="L35" s="51"/>
      <c r="M35" s="51"/>
      <c r="N35" s="51"/>
      <c r="O35" s="51"/>
      <c r="P35" s="51"/>
    </row>
    <row r="36" spans="1:16" ht="14.25">
      <c r="A36" s="5">
        <v>25</v>
      </c>
      <c r="B36" s="23" t="s">
        <v>35</v>
      </c>
      <c r="C36" s="6">
        <f>+Laboral!B11+Laboral!C11+Laboral!D11</f>
        <v>47813302.777777776</v>
      </c>
      <c r="D36" s="6">
        <f>+E36-C36</f>
        <v>35936721.03408055</v>
      </c>
      <c r="E36" s="6">
        <f>+Laboral!B22+Laboral!C22+Laboral!D22+Laboral!K64</f>
        <v>83750023.81185833</v>
      </c>
      <c r="L36" s="51"/>
      <c r="M36" s="51"/>
      <c r="N36" s="51"/>
      <c r="O36" s="51"/>
      <c r="P36" s="51"/>
    </row>
    <row r="37" spans="12:16" ht="14.25">
      <c r="L37" s="51"/>
      <c r="M37" s="51"/>
      <c r="N37" s="51"/>
      <c r="O37" s="51"/>
      <c r="P37" s="51"/>
    </row>
    <row r="38" ht="15">
      <c r="A38" s="1" t="s">
        <v>259</v>
      </c>
    </row>
    <row r="40" spans="4:6" ht="14.25">
      <c r="D40" s="169"/>
      <c r="E40" s="169"/>
      <c r="F40" s="169"/>
    </row>
    <row r="43" spans="8:9" ht="14.25">
      <c r="H43" s="13"/>
      <c r="I43" s="13"/>
    </row>
    <row r="44" spans="8:9" ht="14.25">
      <c r="H44" s="13"/>
      <c r="I44" s="13"/>
    </row>
    <row r="45" spans="8:9" ht="14.25">
      <c r="H45" s="13"/>
      <c r="I45" s="13"/>
    </row>
    <row r="46" spans="8:9" ht="14.25">
      <c r="H46" s="13"/>
      <c r="I46" s="13"/>
    </row>
    <row r="47" spans="8:10" ht="14.25">
      <c r="H47" s="13"/>
      <c r="I47" s="13"/>
      <c r="J47" s="13"/>
    </row>
    <row r="48" spans="9:10" ht="14.25">
      <c r="I48" s="13"/>
      <c r="J48" s="13"/>
    </row>
    <row r="49" spans="1:10" ht="15">
      <c r="A49" s="1" t="s">
        <v>208</v>
      </c>
      <c r="D49" s="2" t="s">
        <v>687</v>
      </c>
      <c r="I49" s="13"/>
      <c r="J49" s="13"/>
    </row>
    <row r="50" spans="1:5" ht="15">
      <c r="A50" s="69" t="s">
        <v>147</v>
      </c>
      <c r="B50" s="69" t="s">
        <v>1</v>
      </c>
      <c r="C50" s="84" t="s">
        <v>90</v>
      </c>
      <c r="D50" s="70" t="s">
        <v>37</v>
      </c>
      <c r="E50" s="84" t="s">
        <v>145</v>
      </c>
    </row>
    <row r="51" spans="1:5" ht="15">
      <c r="A51" s="71"/>
      <c r="B51" s="69" t="s">
        <v>113</v>
      </c>
      <c r="C51" s="76">
        <f>SUM(C52:C53)</f>
        <v>556000000</v>
      </c>
      <c r="D51" s="76">
        <f>SUM(D52:D53)</f>
        <v>-145967371.4152633</v>
      </c>
      <c r="E51" s="76">
        <f>SUM(E52:E53)</f>
        <v>410032628.5847367</v>
      </c>
    </row>
    <row r="52" spans="1:5" ht="14.25">
      <c r="A52" s="5">
        <v>2635</v>
      </c>
      <c r="B52" s="20" t="s">
        <v>47</v>
      </c>
      <c r="C52" s="6">
        <f>+C62</f>
        <v>430000000</v>
      </c>
      <c r="D52" s="6">
        <f>+E52-C52</f>
        <v>-145967371.4152633</v>
      </c>
      <c r="E52" s="6">
        <f>+D67</f>
        <v>284032628.5847367</v>
      </c>
    </row>
    <row r="53" spans="1:5" ht="14.25">
      <c r="A53" s="5">
        <v>2640</v>
      </c>
      <c r="B53" s="20" t="s">
        <v>579</v>
      </c>
      <c r="C53" s="6">
        <v>126000000</v>
      </c>
      <c r="D53" s="6">
        <f>+E53-C53</f>
        <v>0</v>
      </c>
      <c r="E53" s="6">
        <f>+C53</f>
        <v>126000000</v>
      </c>
    </row>
    <row r="54" spans="1:8" ht="14.25">
      <c r="A54" s="22"/>
      <c r="B54" s="179"/>
      <c r="C54" s="24"/>
      <c r="D54" s="24"/>
      <c r="E54" s="24"/>
      <c r="G54" s="117"/>
      <c r="H54" s="117"/>
    </row>
    <row r="55" spans="7:8" ht="14.25">
      <c r="G55" s="117"/>
      <c r="H55" s="117"/>
    </row>
    <row r="56" spans="7:10" ht="14.25">
      <c r="G56" s="117"/>
      <c r="H56" s="117"/>
      <c r="I56" s="13"/>
      <c r="J56" s="13"/>
    </row>
    <row r="59" ht="15">
      <c r="B59" s="1" t="s">
        <v>207</v>
      </c>
    </row>
    <row r="60" spans="2:8" ht="15">
      <c r="B60" s="266"/>
      <c r="C60" s="266"/>
      <c r="D60" s="266" t="s">
        <v>52</v>
      </c>
      <c r="E60" s="266"/>
      <c r="F60" s="266"/>
      <c r="G60" s="266"/>
      <c r="H60" s="266"/>
    </row>
    <row r="61" spans="2:8" ht="30">
      <c r="B61" s="98" t="s">
        <v>48</v>
      </c>
      <c r="C61" s="73" t="s">
        <v>58</v>
      </c>
      <c r="D61" s="73" t="s">
        <v>53</v>
      </c>
      <c r="E61" s="73" t="s">
        <v>54</v>
      </c>
      <c r="F61" s="73" t="s">
        <v>55</v>
      </c>
      <c r="G61" s="73" t="s">
        <v>56</v>
      </c>
      <c r="H61" s="73" t="s">
        <v>57</v>
      </c>
    </row>
    <row r="62" spans="2:11" ht="15">
      <c r="B62" s="84" t="s">
        <v>4</v>
      </c>
      <c r="C62" s="76">
        <f aca="true" t="shared" si="9" ref="C62:H62">+C63+C64</f>
        <v>430000000</v>
      </c>
      <c r="D62" s="76">
        <f t="shared" si="9"/>
        <v>60000000</v>
      </c>
      <c r="E62" s="76">
        <f t="shared" si="9"/>
        <v>60000000</v>
      </c>
      <c r="F62" s="76">
        <f t="shared" si="9"/>
        <v>60000000</v>
      </c>
      <c r="G62" s="76">
        <f t="shared" si="9"/>
        <v>250000000</v>
      </c>
      <c r="H62" s="76">
        <f t="shared" si="9"/>
        <v>0</v>
      </c>
      <c r="J62" s="2" t="s">
        <v>866</v>
      </c>
      <c r="K62" s="2" t="s">
        <v>867</v>
      </c>
    </row>
    <row r="63" spans="2:11" ht="14.25">
      <c r="B63" s="20" t="s">
        <v>50</v>
      </c>
      <c r="C63" s="6">
        <f>SUM(D63:H63)</f>
        <v>250000000</v>
      </c>
      <c r="D63" s="6">
        <v>0</v>
      </c>
      <c r="E63" s="6">
        <v>0</v>
      </c>
      <c r="F63" s="6">
        <v>0</v>
      </c>
      <c r="G63" s="6">
        <v>250000000</v>
      </c>
      <c r="H63" s="6">
        <v>0</v>
      </c>
      <c r="J63" s="2" t="s">
        <v>868</v>
      </c>
      <c r="K63" s="2" t="s">
        <v>869</v>
      </c>
    </row>
    <row r="64" spans="2:11" ht="14.25">
      <c r="B64" s="20" t="s">
        <v>49</v>
      </c>
      <c r="C64" s="6">
        <f>SUM(D64:H64)</f>
        <v>180000000</v>
      </c>
      <c r="D64" s="6">
        <v>60000000</v>
      </c>
      <c r="E64" s="6">
        <v>60000000</v>
      </c>
      <c r="F64" s="6">
        <v>60000000</v>
      </c>
      <c r="G64" s="6">
        <v>0</v>
      </c>
      <c r="H64" s="6">
        <v>0</v>
      </c>
      <c r="K64" s="2" t="s">
        <v>870</v>
      </c>
    </row>
    <row r="65" ht="14.25">
      <c r="K65" s="2" t="s">
        <v>871</v>
      </c>
    </row>
    <row r="66" spans="2:4" ht="30">
      <c r="B66" s="84" t="s">
        <v>48</v>
      </c>
      <c r="C66" s="73" t="s">
        <v>90</v>
      </c>
      <c r="D66" s="73" t="s">
        <v>166</v>
      </c>
    </row>
    <row r="67" spans="2:6" ht="15">
      <c r="B67" s="84" t="s">
        <v>4</v>
      </c>
      <c r="C67" s="76">
        <f>+C68+C69</f>
        <v>430000000</v>
      </c>
      <c r="D67" s="76">
        <f>+D68+D69</f>
        <v>284032628.5847367</v>
      </c>
      <c r="F67" s="126"/>
    </row>
    <row r="68" spans="2:4" ht="14.25">
      <c r="B68" s="20" t="s">
        <v>50</v>
      </c>
      <c r="C68" s="6">
        <f>+C63</f>
        <v>250000000</v>
      </c>
      <c r="D68" s="6">
        <f>+NPV(14.44%,D63:H63)</f>
        <v>145756728.53737262</v>
      </c>
    </row>
    <row r="69" spans="2:4" ht="14.25">
      <c r="B69" s="20" t="s">
        <v>49</v>
      </c>
      <c r="C69" s="6">
        <f>+C64</f>
        <v>180000000</v>
      </c>
      <c r="D69" s="6">
        <f>+NPV(14.44%,D64:H64)</f>
        <v>138275900.0473641</v>
      </c>
    </row>
    <row r="71" spans="2:5" ht="15">
      <c r="B71" s="2" t="s">
        <v>872</v>
      </c>
      <c r="E71" s="99"/>
    </row>
  </sheetData>
  <sheetProtection/>
  <mergeCells count="7">
    <mergeCell ref="D60:H60"/>
    <mergeCell ref="F8:H12"/>
    <mergeCell ref="J7:M7"/>
    <mergeCell ref="A21:B21"/>
    <mergeCell ref="O7:R7"/>
    <mergeCell ref="V7:W7"/>
    <mergeCell ref="B60:C60"/>
  </mergeCells>
  <printOptions/>
  <pageMargins left="0.3937007874015748" right="0.3937007874015748" top="0.3937007874015748" bottom="0.3937007874015748" header="0" footer="0"/>
  <pageSetup horizontalDpi="600" verticalDpi="600" orientation="landscape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="160" zoomScaleNormal="160" zoomScalePageLayoutView="0" workbookViewId="0" topLeftCell="A17">
      <selection activeCell="C31" sqref="C31"/>
    </sheetView>
  </sheetViews>
  <sheetFormatPr defaultColWidth="11.421875" defaultRowHeight="12.75"/>
  <cols>
    <col min="1" max="2" width="17.140625" style="44" bestFit="1" customWidth="1"/>
    <col min="3" max="3" width="14.140625" style="44" customWidth="1"/>
    <col min="4" max="4" width="15.57421875" style="44" bestFit="1" customWidth="1"/>
    <col min="5" max="16384" width="11.421875" style="44" customWidth="1"/>
  </cols>
  <sheetData>
    <row r="2" spans="1:9" ht="12.75">
      <c r="A2" s="62" t="s">
        <v>436</v>
      </c>
      <c r="B2" s="62" t="s">
        <v>438</v>
      </c>
      <c r="C2" s="62" t="s">
        <v>202</v>
      </c>
      <c r="E2" s="152" t="s">
        <v>439</v>
      </c>
      <c r="I2" s="44" t="s">
        <v>516</v>
      </c>
    </row>
    <row r="3" spans="1:9" ht="12.75">
      <c r="A3" s="44" t="e">
        <f>+Pasivos!#REF!</f>
        <v>#REF!</v>
      </c>
      <c r="B3" s="44" t="e">
        <f>+(A3-5000000000)*1.15%+22500000</f>
        <v>#REF!</v>
      </c>
      <c r="C3" s="152" t="s">
        <v>108</v>
      </c>
      <c r="D3" s="152" t="s">
        <v>0</v>
      </c>
      <c r="E3" s="152" t="s">
        <v>440</v>
      </c>
      <c r="I3" s="44" t="s">
        <v>439</v>
      </c>
    </row>
    <row r="4" spans="1:4" ht="12.75">
      <c r="A4" s="44" t="e">
        <f>+A3-(A3*1%)</f>
        <v>#REF!</v>
      </c>
      <c r="B4" s="44" t="e">
        <f>+(A4-5000000000)*1%+15500000</f>
        <v>#REF!</v>
      </c>
      <c r="C4" s="152" t="s">
        <v>229</v>
      </c>
      <c r="D4" s="152" t="s">
        <v>441</v>
      </c>
    </row>
    <row r="5" spans="1:4" ht="12.75">
      <c r="A5" s="44" t="e">
        <f>+A3+(A3*1%)</f>
        <v>#REF!</v>
      </c>
      <c r="B5" s="44" t="e">
        <f>+(A5-5000000000)*0.4%+6000000</f>
        <v>#REF!</v>
      </c>
      <c r="C5" s="152" t="s">
        <v>437</v>
      </c>
      <c r="D5" s="152" t="s">
        <v>442</v>
      </c>
    </row>
    <row r="6" spans="1:2" ht="12.75">
      <c r="A6" s="62" t="s">
        <v>95</v>
      </c>
      <c r="B6" s="62" t="e">
        <f>SUM(B3:B5)</f>
        <v>#REF!</v>
      </c>
    </row>
    <row r="8" spans="1:4" ht="12.75">
      <c r="A8" s="152" t="s">
        <v>430</v>
      </c>
      <c r="B8" s="152" t="s">
        <v>245</v>
      </c>
      <c r="C8" s="152" t="s">
        <v>304</v>
      </c>
      <c r="D8" s="152" t="s">
        <v>85</v>
      </c>
    </row>
    <row r="9" spans="1:4" ht="12.75">
      <c r="A9" s="152"/>
      <c r="B9" s="152"/>
      <c r="D9" s="160">
        <f>+B43</f>
        <v>110281766.66167802</v>
      </c>
    </row>
    <row r="10" spans="1:4" ht="12.75">
      <c r="A10" s="159">
        <v>42005</v>
      </c>
      <c r="B10" s="44">
        <v>0</v>
      </c>
      <c r="C10" s="44">
        <f>+D9*$B$46</f>
        <v>963266.4379334853</v>
      </c>
      <c r="D10" s="44">
        <f>+D9+C10-B10</f>
        <v>111245033.0996115</v>
      </c>
    </row>
    <row r="11" spans="1:4" ht="12.75">
      <c r="A11" s="159">
        <v>42036</v>
      </c>
      <c r="B11" s="44">
        <v>0</v>
      </c>
      <c r="C11" s="44">
        <f aca="true" t="shared" si="0" ref="C11:C42">+D10*$B$46</f>
        <v>971680.179012694</v>
      </c>
      <c r="D11" s="44">
        <f aca="true" t="shared" si="1" ref="D11:D42">+D10+C11-B11</f>
        <v>112216713.2786242</v>
      </c>
    </row>
    <row r="12" spans="1:4" ht="12.75">
      <c r="A12" s="159">
        <v>42064</v>
      </c>
      <c r="B12" s="44">
        <v>0</v>
      </c>
      <c r="C12" s="44">
        <f t="shared" si="0"/>
        <v>980167.4107027662</v>
      </c>
      <c r="D12" s="44">
        <f t="shared" si="1"/>
        <v>113196880.68932697</v>
      </c>
    </row>
    <row r="13" spans="1:4" ht="12.75">
      <c r="A13" s="159">
        <v>42095</v>
      </c>
      <c r="B13" s="44">
        <v>0</v>
      </c>
      <c r="C13" s="44">
        <f t="shared" si="0"/>
        <v>988728.7749143374</v>
      </c>
      <c r="D13" s="44">
        <f t="shared" si="1"/>
        <v>114185609.46424131</v>
      </c>
    </row>
    <row r="14" spans="1:4" ht="12.75">
      <c r="A14" s="159">
        <v>42125</v>
      </c>
      <c r="B14" s="44">
        <f>59449000/2</f>
        <v>29724500</v>
      </c>
      <c r="C14" s="44">
        <f t="shared" si="0"/>
        <v>997364.9191648723</v>
      </c>
      <c r="D14" s="44">
        <f t="shared" si="1"/>
        <v>85458474.38340618</v>
      </c>
    </row>
    <row r="15" spans="1:4" ht="12.75">
      <c r="A15" s="159">
        <v>42156</v>
      </c>
      <c r="B15" s="44">
        <v>0</v>
      </c>
      <c r="C15" s="44">
        <f t="shared" si="0"/>
        <v>746445.0625194684</v>
      </c>
      <c r="D15" s="44">
        <f t="shared" si="1"/>
        <v>86204919.44592565</v>
      </c>
    </row>
    <row r="16" spans="1:4" ht="12.75">
      <c r="A16" s="159">
        <v>42186</v>
      </c>
      <c r="B16" s="44">
        <v>0</v>
      </c>
      <c r="C16" s="44">
        <f t="shared" si="0"/>
        <v>752964.9569521719</v>
      </c>
      <c r="D16" s="44">
        <f t="shared" si="1"/>
        <v>86957884.40287782</v>
      </c>
    </row>
    <row r="17" spans="1:4" ht="12.75">
      <c r="A17" s="159">
        <v>42217</v>
      </c>
      <c r="B17" s="44">
        <v>0</v>
      </c>
      <c r="C17" s="44">
        <f t="shared" si="0"/>
        <v>759541.8000145173</v>
      </c>
      <c r="D17" s="44">
        <f t="shared" si="1"/>
        <v>87717426.20289233</v>
      </c>
    </row>
    <row r="18" spans="1:4" ht="12.75">
      <c r="A18" s="159">
        <v>42248</v>
      </c>
      <c r="B18" s="44">
        <f>59449000/2</f>
        <v>29724500</v>
      </c>
      <c r="C18" s="44">
        <f t="shared" si="0"/>
        <v>766176.0891296535</v>
      </c>
      <c r="D18" s="44">
        <f t="shared" si="1"/>
        <v>58759102.29202199</v>
      </c>
    </row>
    <row r="19" spans="1:4" ht="12.75">
      <c r="A19" s="159">
        <v>42278</v>
      </c>
      <c r="B19" s="44">
        <v>0</v>
      </c>
      <c r="C19" s="44">
        <f t="shared" si="0"/>
        <v>513236.8919573499</v>
      </c>
      <c r="D19" s="44">
        <f t="shared" si="1"/>
        <v>59272339.18397934</v>
      </c>
    </row>
    <row r="20" spans="1:4" ht="12.75">
      <c r="A20" s="159">
        <v>42309</v>
      </c>
      <c r="B20" s="44">
        <v>0</v>
      </c>
      <c r="C20" s="44">
        <f t="shared" si="0"/>
        <v>517719.8077438596</v>
      </c>
      <c r="D20" s="44">
        <f t="shared" si="1"/>
        <v>59790058.9917232</v>
      </c>
    </row>
    <row r="21" spans="1:4" ht="12.75">
      <c r="A21" s="159">
        <v>42339</v>
      </c>
      <c r="B21" s="44">
        <v>0</v>
      </c>
      <c r="C21" s="44">
        <f t="shared" si="0"/>
        <v>522241.87997890956</v>
      </c>
      <c r="D21" s="44">
        <f t="shared" si="1"/>
        <v>60312300.87170211</v>
      </c>
    </row>
    <row r="22" spans="1:4" ht="12.75">
      <c r="A22" s="159">
        <v>42370</v>
      </c>
      <c r="B22" s="44">
        <v>0</v>
      </c>
      <c r="C22" s="44">
        <f t="shared" si="0"/>
        <v>526803.4506781735</v>
      </c>
      <c r="D22" s="44">
        <f t="shared" si="1"/>
        <v>60839104.32238029</v>
      </c>
    </row>
    <row r="23" spans="1:4" ht="12.75">
      <c r="A23" s="159">
        <v>42401</v>
      </c>
      <c r="B23" s="44">
        <v>0</v>
      </c>
      <c r="C23" s="44">
        <f t="shared" si="0"/>
        <v>531404.864844693</v>
      </c>
      <c r="D23" s="44">
        <f t="shared" si="1"/>
        <v>61370509.187224984</v>
      </c>
    </row>
    <row r="24" spans="1:4" ht="12.75">
      <c r="A24" s="159">
        <v>42430</v>
      </c>
      <c r="B24" s="44">
        <v>0</v>
      </c>
      <c r="C24" s="44">
        <f t="shared" si="0"/>
        <v>536046.4704949708</v>
      </c>
      <c r="D24" s="44">
        <f t="shared" si="1"/>
        <v>61906555.657719955</v>
      </c>
    </row>
    <row r="25" spans="1:4" ht="12.75">
      <c r="A25" s="159">
        <v>42461</v>
      </c>
      <c r="B25" s="44">
        <v>0</v>
      </c>
      <c r="C25" s="44">
        <f t="shared" si="0"/>
        <v>540728.618685293</v>
      </c>
      <c r="D25" s="44">
        <f t="shared" si="1"/>
        <v>62447284.276405245</v>
      </c>
    </row>
    <row r="26" spans="1:4" ht="12.75">
      <c r="A26" s="159">
        <v>42491</v>
      </c>
      <c r="B26" s="44">
        <f>46809000/2</f>
        <v>23404500</v>
      </c>
      <c r="C26" s="44">
        <f t="shared" si="0"/>
        <v>545451.6635382794</v>
      </c>
      <c r="D26" s="44">
        <f t="shared" si="1"/>
        <v>39588235.93994352</v>
      </c>
    </row>
    <row r="27" spans="1:4" ht="12.75">
      <c r="A27" s="159">
        <v>42522</v>
      </c>
      <c r="B27" s="44">
        <v>0</v>
      </c>
      <c r="C27" s="44">
        <f t="shared" si="0"/>
        <v>345787.16112634627</v>
      </c>
      <c r="D27" s="44">
        <f t="shared" si="1"/>
        <v>39934023.10106987</v>
      </c>
    </row>
    <row r="28" spans="1:4" ht="12.75">
      <c r="A28" s="159">
        <v>42552</v>
      </c>
      <c r="B28" s="44">
        <v>0</v>
      </c>
      <c r="C28" s="44">
        <f t="shared" si="0"/>
        <v>348807.471528184</v>
      </c>
      <c r="D28" s="44">
        <f t="shared" si="1"/>
        <v>40282830.572598055</v>
      </c>
    </row>
    <row r="29" spans="1:4" ht="12.75">
      <c r="A29" s="159">
        <v>42583</v>
      </c>
      <c r="B29" s="44">
        <v>0</v>
      </c>
      <c r="C29" s="44">
        <f t="shared" si="0"/>
        <v>351854.16311460285</v>
      </c>
      <c r="D29" s="44">
        <f t="shared" si="1"/>
        <v>40634684.735712655</v>
      </c>
    </row>
    <row r="30" spans="1:4" ht="12.75">
      <c r="A30" s="159">
        <v>42614</v>
      </c>
      <c r="B30" s="44">
        <f>46809000/2</f>
        <v>23404500</v>
      </c>
      <c r="C30" s="44">
        <f t="shared" si="0"/>
        <v>354927.46631453466</v>
      </c>
      <c r="D30" s="44">
        <f t="shared" si="1"/>
        <v>17585112.202027187</v>
      </c>
    </row>
    <row r="31" spans="1:4" ht="12.75">
      <c r="A31" s="159">
        <v>42644</v>
      </c>
      <c r="B31" s="44">
        <v>0</v>
      </c>
      <c r="C31" s="44">
        <f t="shared" si="0"/>
        <v>153598.8124262939</v>
      </c>
      <c r="D31" s="44">
        <f t="shared" si="1"/>
        <v>17738711.014453482</v>
      </c>
    </row>
    <row r="32" spans="1:4" ht="12.75">
      <c r="A32" s="159">
        <v>42675</v>
      </c>
      <c r="B32" s="44">
        <v>0</v>
      </c>
      <c r="C32" s="44">
        <f t="shared" si="0"/>
        <v>154940.43566461754</v>
      </c>
      <c r="D32" s="44">
        <f t="shared" si="1"/>
        <v>17893651.4501181</v>
      </c>
    </row>
    <row r="33" spans="1:4" ht="12.75">
      <c r="A33" s="159">
        <v>42705</v>
      </c>
      <c r="B33" s="44">
        <v>0</v>
      </c>
      <c r="C33" s="44">
        <f t="shared" si="0"/>
        <v>156293.77743699215</v>
      </c>
      <c r="D33" s="44">
        <f t="shared" si="1"/>
        <v>18049945.22755509</v>
      </c>
    </row>
    <row r="34" spans="1:4" ht="12.75">
      <c r="A34" s="159">
        <v>42736</v>
      </c>
      <c r="B34" s="44">
        <v>0</v>
      </c>
      <c r="C34" s="44">
        <f t="shared" si="0"/>
        <v>157658.9401000529</v>
      </c>
      <c r="D34" s="44">
        <f t="shared" si="1"/>
        <v>18207604.16765514</v>
      </c>
    </row>
    <row r="35" spans="1:4" ht="12.75">
      <c r="A35" s="159">
        <v>42767</v>
      </c>
      <c r="B35" s="44">
        <v>0</v>
      </c>
      <c r="C35" s="44">
        <f t="shared" si="0"/>
        <v>159036.02690447852</v>
      </c>
      <c r="D35" s="44">
        <f t="shared" si="1"/>
        <v>18366640.19455962</v>
      </c>
    </row>
    <row r="36" spans="1:4" ht="12.75">
      <c r="A36" s="159">
        <v>42795</v>
      </c>
      <c r="B36" s="44">
        <v>0</v>
      </c>
      <c r="C36" s="44">
        <f t="shared" si="0"/>
        <v>160425.14200280063</v>
      </c>
      <c r="D36" s="44">
        <f t="shared" si="1"/>
        <v>18527065.33656242</v>
      </c>
    </row>
    <row r="37" spans="1:4" ht="12.75">
      <c r="A37" s="159">
        <v>42826</v>
      </c>
      <c r="B37" s="44">
        <v>0</v>
      </c>
      <c r="C37" s="44">
        <f t="shared" si="0"/>
        <v>161826.39045728074</v>
      </c>
      <c r="D37" s="44">
        <f t="shared" si="1"/>
        <v>18688891.7270197</v>
      </c>
    </row>
    <row r="38" spans="1:4" ht="12.75">
      <c r="A38" s="159">
        <v>42856</v>
      </c>
      <c r="B38" s="44">
        <f>19180000/2</f>
        <v>9590000</v>
      </c>
      <c r="C38" s="44">
        <f t="shared" si="0"/>
        <v>163239.8782478566</v>
      </c>
      <c r="D38" s="44">
        <f t="shared" si="1"/>
        <v>9262131.605267558</v>
      </c>
    </row>
    <row r="39" spans="1:4" ht="12.75">
      <c r="A39" s="159">
        <v>42887</v>
      </c>
      <c r="B39" s="44">
        <v>0</v>
      </c>
      <c r="C39" s="44">
        <f t="shared" si="0"/>
        <v>80900.95751229492</v>
      </c>
      <c r="D39" s="44">
        <f t="shared" si="1"/>
        <v>9343032.562779853</v>
      </c>
    </row>
    <row r="40" spans="1:4" ht="12.75">
      <c r="A40" s="159">
        <v>42917</v>
      </c>
      <c r="B40" s="44">
        <v>0</v>
      </c>
      <c r="C40" s="44">
        <f t="shared" si="0"/>
        <v>81607.59451610124</v>
      </c>
      <c r="D40" s="44">
        <f t="shared" si="1"/>
        <v>9424640.157295953</v>
      </c>
    </row>
    <row r="41" spans="1:4" ht="12.75">
      <c r="A41" s="159">
        <v>42948</v>
      </c>
      <c r="B41" s="44">
        <v>0</v>
      </c>
      <c r="C41" s="44">
        <f t="shared" si="0"/>
        <v>82320.4037071165</v>
      </c>
      <c r="D41" s="44">
        <f t="shared" si="1"/>
        <v>9506960.56100307</v>
      </c>
    </row>
    <row r="42" spans="1:4" ht="12.75">
      <c r="A42" s="159">
        <v>42979</v>
      </c>
      <c r="B42" s="44">
        <f>19180000/2</f>
        <v>9590000</v>
      </c>
      <c r="C42" s="44">
        <f t="shared" si="0"/>
        <v>83039.43899688899</v>
      </c>
      <c r="D42" s="163">
        <f t="shared" si="1"/>
        <v>-4.0978193283081055E-08</v>
      </c>
    </row>
    <row r="43" spans="1:2" ht="12.75">
      <c r="A43" s="62" t="s">
        <v>445</v>
      </c>
      <c r="B43" s="162">
        <f>+NPV(B46,B10:B42)</f>
        <v>110281766.66167802</v>
      </c>
    </row>
    <row r="45" spans="1:2" ht="12.75">
      <c r="A45" s="152" t="s">
        <v>443</v>
      </c>
      <c r="B45" s="158">
        <v>0.11</v>
      </c>
    </row>
    <row r="46" spans="1:2" ht="12.75">
      <c r="A46" s="152" t="s">
        <v>444</v>
      </c>
      <c r="B46" s="161">
        <f>+(1+B45)^(1/12)-1</f>
        <v>0.008734593823551906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3"/>
  <sheetViews>
    <sheetView showGridLines="0" zoomScale="110" zoomScaleNormal="110" zoomScalePageLayoutView="0" workbookViewId="0" topLeftCell="D45">
      <selection activeCell="K70" sqref="K70"/>
    </sheetView>
  </sheetViews>
  <sheetFormatPr defaultColWidth="11.421875" defaultRowHeight="12.75"/>
  <cols>
    <col min="1" max="1" width="27.140625" style="17" customWidth="1"/>
    <col min="2" max="2" width="16.8515625" style="17" bestFit="1" customWidth="1"/>
    <col min="3" max="3" width="17.7109375" style="17" customWidth="1"/>
    <col min="4" max="4" width="16.8515625" style="17" bestFit="1" customWidth="1"/>
    <col min="5" max="6" width="17.421875" style="17" bestFit="1" customWidth="1"/>
    <col min="7" max="7" width="18.57421875" style="17" customWidth="1"/>
    <col min="8" max="8" width="19.7109375" style="17" customWidth="1"/>
    <col min="9" max="9" width="17.421875" style="17" customWidth="1"/>
    <col min="10" max="10" width="18.57421875" style="17" customWidth="1"/>
    <col min="11" max="11" width="20.8515625" style="17" customWidth="1"/>
    <col min="12" max="12" width="14.57421875" style="17" bestFit="1" customWidth="1"/>
    <col min="13" max="13" width="16.140625" style="17" customWidth="1"/>
    <col min="14" max="16384" width="11.421875" style="17" customWidth="1"/>
  </cols>
  <sheetData>
    <row r="1" spans="1:6" s="79" customFormat="1" ht="55.5" customHeight="1">
      <c r="A1" s="81" t="s">
        <v>170</v>
      </c>
      <c r="B1" s="80"/>
      <c r="C1" s="81" t="s">
        <v>171</v>
      </c>
      <c r="E1" s="81"/>
      <c r="F1" s="81" t="s">
        <v>210</v>
      </c>
    </row>
    <row r="2" ht="14.25"/>
    <row r="3" ht="14.25">
      <c r="A3" s="17" t="s">
        <v>212</v>
      </c>
    </row>
    <row r="5" spans="1:11" ht="15">
      <c r="A5" s="46" t="s">
        <v>213</v>
      </c>
      <c r="I5" s="17">
        <v>5000000</v>
      </c>
      <c r="J5" s="17" t="s">
        <v>685</v>
      </c>
      <c r="K5" s="17">
        <f>+I5*1.05</f>
        <v>5250000</v>
      </c>
    </row>
    <row r="6" spans="1:6" ht="30">
      <c r="A6" s="180" t="s">
        <v>87</v>
      </c>
      <c r="B6" s="180" t="s">
        <v>114</v>
      </c>
      <c r="C6" s="180" t="s">
        <v>115</v>
      </c>
      <c r="D6" s="180" t="s">
        <v>88</v>
      </c>
      <c r="E6" s="180" t="s">
        <v>580</v>
      </c>
      <c r="F6" s="180" t="s">
        <v>89</v>
      </c>
    </row>
    <row r="7" spans="1:12" ht="14.25">
      <c r="A7" s="32" t="s">
        <v>116</v>
      </c>
      <c r="B7" s="32">
        <f>+E7*1</f>
        <v>12500000</v>
      </c>
      <c r="C7" s="32">
        <f>+B7*0.12</f>
        <v>1500000</v>
      </c>
      <c r="D7" s="32">
        <f>+E7*I18/720</f>
        <v>15625000</v>
      </c>
      <c r="E7" s="32">
        <v>12500000</v>
      </c>
      <c r="F7" s="65">
        <v>36708</v>
      </c>
      <c r="H7" s="17" t="s">
        <v>0</v>
      </c>
      <c r="I7" s="17" t="s">
        <v>686</v>
      </c>
      <c r="K7" s="17">
        <f>+I5*0.25</f>
        <v>1250000</v>
      </c>
      <c r="L7" s="17">
        <f>+K5*0.25</f>
        <v>1312500</v>
      </c>
    </row>
    <row r="8" spans="1:13" ht="15">
      <c r="A8" s="32" t="s">
        <v>117</v>
      </c>
      <c r="B8" s="32">
        <f>+E8*1</f>
        <v>3500000</v>
      </c>
      <c r="C8" s="32">
        <f>+B8*0.12</f>
        <v>420000</v>
      </c>
      <c r="D8" s="32">
        <f>+E8*I19/720</f>
        <v>2459722.222222222</v>
      </c>
      <c r="E8" s="32">
        <v>3500000</v>
      </c>
      <c r="F8" s="65">
        <v>41126</v>
      </c>
      <c r="H8" s="17" t="s">
        <v>0</v>
      </c>
      <c r="K8" s="17">
        <f>+L8-K7</f>
        <v>325000</v>
      </c>
      <c r="L8" s="46">
        <f>+L7/15*18</f>
        <v>1575000</v>
      </c>
      <c r="M8" s="46" t="s">
        <v>158</v>
      </c>
    </row>
    <row r="9" spans="1:6" ht="14.25">
      <c r="A9" s="32" t="s">
        <v>119</v>
      </c>
      <c r="B9" s="32">
        <f>+E9*1</f>
        <v>2500000</v>
      </c>
      <c r="C9" s="32">
        <f>+B9*0.12</f>
        <v>300000</v>
      </c>
      <c r="D9" s="32">
        <f>+E9*I20/720</f>
        <v>86805.55555555556</v>
      </c>
      <c r="E9" s="32">
        <v>2500000</v>
      </c>
      <c r="F9" s="65">
        <v>41979</v>
      </c>
    </row>
    <row r="10" spans="1:6" ht="14.25">
      <c r="A10" s="32" t="s">
        <v>118</v>
      </c>
      <c r="B10" s="32">
        <f>+E10*1</f>
        <v>6345000</v>
      </c>
      <c r="C10" s="32">
        <f>+B10*0.12</f>
        <v>761400</v>
      </c>
      <c r="D10" s="32">
        <f>+E10*I21/720</f>
        <v>1815375</v>
      </c>
      <c r="E10" s="32">
        <v>6345000</v>
      </c>
      <c r="F10" s="65">
        <v>39604</v>
      </c>
    </row>
    <row r="11" spans="1:6" ht="15">
      <c r="A11" s="38" t="s">
        <v>4</v>
      </c>
      <c r="B11" s="38">
        <f>SUM(B7:B10)</f>
        <v>24845000</v>
      </c>
      <c r="C11" s="38">
        <f>SUM(C7:C10)</f>
        <v>2981400</v>
      </c>
      <c r="D11" s="45">
        <f>SUM(D7:D10)</f>
        <v>19986902.77777778</v>
      </c>
      <c r="E11" s="38"/>
      <c r="F11" s="38"/>
    </row>
    <row r="13" spans="11:12" ht="14.25">
      <c r="K13" s="17" t="s">
        <v>595</v>
      </c>
      <c r="L13" s="17" t="s">
        <v>596</v>
      </c>
    </row>
    <row r="14" spans="11:12" ht="14.25">
      <c r="K14" s="17" t="s">
        <v>597</v>
      </c>
      <c r="L14" s="17" t="s">
        <v>598</v>
      </c>
    </row>
    <row r="16" ht="15">
      <c r="A16" s="46" t="s">
        <v>214</v>
      </c>
    </row>
    <row r="17" spans="1:13" ht="30">
      <c r="A17" s="180" t="s">
        <v>87</v>
      </c>
      <c r="B17" s="180" t="s">
        <v>114</v>
      </c>
      <c r="C17" s="180" t="s">
        <v>115</v>
      </c>
      <c r="D17" s="180" t="s">
        <v>88</v>
      </c>
      <c r="E17" s="180" t="s">
        <v>580</v>
      </c>
      <c r="F17" s="180" t="s">
        <v>89</v>
      </c>
      <c r="G17" s="180" t="s">
        <v>155</v>
      </c>
      <c r="H17" s="180" t="s">
        <v>156</v>
      </c>
      <c r="I17" s="180" t="s">
        <v>218</v>
      </c>
      <c r="J17" s="180" t="s">
        <v>157</v>
      </c>
      <c r="K17" s="180" t="s">
        <v>219</v>
      </c>
      <c r="L17" s="180" t="s">
        <v>220</v>
      </c>
      <c r="M17" s="180" t="s">
        <v>158</v>
      </c>
    </row>
    <row r="18" spans="1:13" ht="14.25">
      <c r="A18" s="32" t="str">
        <f aca="true" t="shared" si="0" ref="A18:C21">+A7</f>
        <v>Leonardo</v>
      </c>
      <c r="B18" s="32">
        <f t="shared" si="0"/>
        <v>12500000</v>
      </c>
      <c r="C18" s="32">
        <f t="shared" si="0"/>
        <v>1500000</v>
      </c>
      <c r="D18" s="32">
        <f>+M18</f>
        <v>19195890.4109589</v>
      </c>
      <c r="E18" s="32">
        <f>+E7</f>
        <v>12500000</v>
      </c>
      <c r="F18" s="65">
        <v>36708</v>
      </c>
      <c r="G18" s="65">
        <v>41091</v>
      </c>
      <c r="H18" s="65">
        <v>42004</v>
      </c>
      <c r="I18" s="32">
        <f>+DAYS360(G18,H18)</f>
        <v>900</v>
      </c>
      <c r="J18" s="32">
        <f>+E18*1.038</f>
        <v>12975000</v>
      </c>
      <c r="K18" s="32">
        <f>+I18*0.0493150684931507</f>
        <v>44.38356164383561</v>
      </c>
      <c r="L18" s="32">
        <f>+J18/30</f>
        <v>432500</v>
      </c>
      <c r="M18" s="32">
        <f>+L18*K18</f>
        <v>19195890.4109589</v>
      </c>
    </row>
    <row r="19" spans="1:13" ht="14.25">
      <c r="A19" s="32" t="str">
        <f t="shared" si="0"/>
        <v>Esther</v>
      </c>
      <c r="B19" s="32">
        <f t="shared" si="0"/>
        <v>3500000</v>
      </c>
      <c r="C19" s="32">
        <f t="shared" si="0"/>
        <v>420000</v>
      </c>
      <c r="D19" s="32">
        <f>+M19</f>
        <v>3021859.726027397</v>
      </c>
      <c r="E19" s="32">
        <f>+E8</f>
        <v>3500000</v>
      </c>
      <c r="F19" s="65">
        <v>41126</v>
      </c>
      <c r="G19" s="65">
        <v>41491</v>
      </c>
      <c r="H19" s="65">
        <v>42004</v>
      </c>
      <c r="I19" s="32">
        <f>+DAYS360(G19,H19)</f>
        <v>506</v>
      </c>
      <c r="J19" s="32">
        <f>+E19*1.038</f>
        <v>3633000</v>
      </c>
      <c r="K19" s="32">
        <f>+I19*0.0493150684931507</f>
        <v>24.953424657534246</v>
      </c>
      <c r="L19" s="32">
        <f>+J19/30</f>
        <v>121100</v>
      </c>
      <c r="M19" s="32">
        <f>+L19*K19</f>
        <v>3021859.726027397</v>
      </c>
    </row>
    <row r="20" spans="1:13" ht="14.25">
      <c r="A20" s="32" t="str">
        <f t="shared" si="0"/>
        <v>Ángela</v>
      </c>
      <c r="B20" s="32">
        <f t="shared" si="0"/>
        <v>2500000</v>
      </c>
      <c r="C20" s="32">
        <f t="shared" si="0"/>
        <v>300000</v>
      </c>
      <c r="D20" s="32">
        <f>+M20</f>
        <v>106643.83561643836</v>
      </c>
      <c r="E20" s="32">
        <f>+E9</f>
        <v>2500000</v>
      </c>
      <c r="F20" s="65">
        <v>41979</v>
      </c>
      <c r="G20" s="65">
        <v>41979</v>
      </c>
      <c r="H20" s="65">
        <v>42004</v>
      </c>
      <c r="I20" s="32">
        <f>+DAYS360(G20,H20)</f>
        <v>25</v>
      </c>
      <c r="J20" s="32">
        <f>+E20*1.038</f>
        <v>2595000</v>
      </c>
      <c r="K20" s="32">
        <f>+I20*0.0493150684931507</f>
        <v>1.2328767123287672</v>
      </c>
      <c r="L20" s="32">
        <f>+J20/30</f>
        <v>86500</v>
      </c>
      <c r="M20" s="32">
        <f>+L20*K20</f>
        <v>106643.83561643836</v>
      </c>
    </row>
    <row r="21" spans="1:13" ht="14.25">
      <c r="A21" s="32" t="str">
        <f t="shared" si="0"/>
        <v>Camila</v>
      </c>
      <c r="B21" s="32">
        <f t="shared" si="0"/>
        <v>6345000</v>
      </c>
      <c r="C21" s="32">
        <f t="shared" si="0"/>
        <v>761400</v>
      </c>
      <c r="D21" s="32">
        <f>+M21</f>
        <v>2230255.3315068493</v>
      </c>
      <c r="E21" s="32">
        <f>+E10</f>
        <v>6345000</v>
      </c>
      <c r="F21" s="65">
        <v>39604</v>
      </c>
      <c r="G21" s="65">
        <v>41795</v>
      </c>
      <c r="H21" s="65">
        <v>42004</v>
      </c>
      <c r="I21" s="32">
        <f>+DAYS360(G21,H21)</f>
        <v>206</v>
      </c>
      <c r="J21" s="32">
        <f>+E21*1.038</f>
        <v>6586110</v>
      </c>
      <c r="K21" s="32">
        <f>+I21*0.0493150684931507</f>
        <v>10.158904109589042</v>
      </c>
      <c r="L21" s="32">
        <f>+J21/30</f>
        <v>219537</v>
      </c>
      <c r="M21" s="32">
        <f>+L21*K21</f>
        <v>2230255.3315068493</v>
      </c>
    </row>
    <row r="22" spans="1:13" ht="15">
      <c r="A22" s="85" t="s">
        <v>4</v>
      </c>
      <c r="B22" s="45">
        <f>SUM(B18:B21)</f>
        <v>24845000</v>
      </c>
      <c r="C22" s="45">
        <f>SUM(C18:C21)</f>
        <v>2981400</v>
      </c>
      <c r="D22" s="45">
        <f>SUM(D18:D21)</f>
        <v>24554649.304109585</v>
      </c>
      <c r="E22" s="38"/>
      <c r="F22" s="38"/>
      <c r="K22" s="17" t="s">
        <v>95</v>
      </c>
      <c r="M22" s="46">
        <f>SUM(M18:M21)</f>
        <v>24554649.304109585</v>
      </c>
    </row>
    <row r="24" ht="14.25">
      <c r="D24" s="17" t="s">
        <v>599</v>
      </c>
    </row>
    <row r="26" ht="15">
      <c r="A26" s="46" t="s">
        <v>105</v>
      </c>
    </row>
    <row r="27" spans="1:2" ht="14.25">
      <c r="A27" s="17" t="s">
        <v>312</v>
      </c>
      <c r="B27" s="17" t="s">
        <v>316</v>
      </c>
    </row>
    <row r="28" spans="1:2" ht="14.25">
      <c r="A28" s="17" t="s">
        <v>313</v>
      </c>
      <c r="B28" s="17" t="s">
        <v>317</v>
      </c>
    </row>
    <row r="29" spans="1:6" ht="14.25">
      <c r="A29" s="17" t="s">
        <v>314</v>
      </c>
      <c r="B29" s="17" t="s">
        <v>318</v>
      </c>
      <c r="F29" s="17">
        <v>878</v>
      </c>
    </row>
    <row r="30" spans="1:6" ht="14.25">
      <c r="A30" s="17" t="s">
        <v>315</v>
      </c>
      <c r="B30" s="17" t="s">
        <v>319</v>
      </c>
      <c r="F30" s="17">
        <v>25</v>
      </c>
    </row>
    <row r="33" ht="15">
      <c r="A33" s="46" t="s">
        <v>581</v>
      </c>
    </row>
    <row r="34" spans="7:8" ht="14.25">
      <c r="G34" s="17">
        <f>+G40</f>
        <v>3914354.052</v>
      </c>
      <c r="H34" s="17">
        <f>365*5</f>
        <v>1825</v>
      </c>
    </row>
    <row r="35" spans="1:8" ht="14.25">
      <c r="A35" s="17" t="s">
        <v>320</v>
      </c>
      <c r="G35" s="17" t="s">
        <v>608</v>
      </c>
      <c r="H35" s="17">
        <f>+F40</f>
        <v>878</v>
      </c>
    </row>
    <row r="37" ht="14.25">
      <c r="A37" s="17" t="s">
        <v>600</v>
      </c>
    </row>
    <row r="38" spans="1:11" ht="30">
      <c r="A38" s="180" t="s">
        <v>87</v>
      </c>
      <c r="B38" s="180" t="s">
        <v>580</v>
      </c>
      <c r="C38" s="180" t="s">
        <v>89</v>
      </c>
      <c r="D38" s="180" t="s">
        <v>604</v>
      </c>
      <c r="E38" s="180" t="s">
        <v>156</v>
      </c>
      <c r="F38" s="180" t="s">
        <v>218</v>
      </c>
      <c r="G38" s="180" t="s">
        <v>605</v>
      </c>
      <c r="H38" s="180" t="s">
        <v>603</v>
      </c>
      <c r="I38" s="180" t="s">
        <v>606</v>
      </c>
      <c r="J38" s="180" t="s">
        <v>607</v>
      </c>
      <c r="K38" s="180" t="s">
        <v>609</v>
      </c>
    </row>
    <row r="39" spans="1:11" ht="14.25">
      <c r="A39" s="32" t="str">
        <f>+A18</f>
        <v>Leonardo</v>
      </c>
      <c r="B39" s="32">
        <f>+E18</f>
        <v>12500000</v>
      </c>
      <c r="C39" s="65">
        <v>36708</v>
      </c>
      <c r="D39" s="65">
        <v>38534</v>
      </c>
      <c r="E39" s="65">
        <v>42004</v>
      </c>
      <c r="F39" s="32">
        <f>IF((D39&lt;E39),0,(E39-C39))</f>
        <v>0</v>
      </c>
      <c r="G39" s="32">
        <f>+B39*1*(1.038)^I39</f>
        <v>15062490.311439602</v>
      </c>
      <c r="H39" s="189">
        <v>1</v>
      </c>
      <c r="I39" s="32">
        <f>+ROUNDUP(((5*365-F39)/365),0)</f>
        <v>5</v>
      </c>
      <c r="J39" s="32">
        <f>+(F39*G39)/(5*365)*H39</f>
        <v>0</v>
      </c>
      <c r="K39" s="32">
        <f>+J39*((1.11)^(-I39))</f>
        <v>0</v>
      </c>
    </row>
    <row r="40" spans="1:11" ht="14.25">
      <c r="A40" s="32" t="str">
        <f>+A19</f>
        <v>Esther</v>
      </c>
      <c r="B40" s="32">
        <f>+E19</f>
        <v>3500000</v>
      </c>
      <c r="C40" s="65">
        <v>41126</v>
      </c>
      <c r="D40" s="65">
        <v>42952</v>
      </c>
      <c r="E40" s="65">
        <v>42004</v>
      </c>
      <c r="F40" s="32">
        <f>IF((D40&lt;E40),0,(E40-C40))</f>
        <v>878</v>
      </c>
      <c r="G40" s="32">
        <f>+B40*1*(1.038)^I40</f>
        <v>3914354.052</v>
      </c>
      <c r="H40" s="189">
        <v>0.65</v>
      </c>
      <c r="I40" s="32">
        <f>+ROUNDUP(((5*365-F40)/365),0)</f>
        <v>3</v>
      </c>
      <c r="J40" s="32">
        <f>+(F40*G40)/(5*365)*H40</f>
        <v>1224066.7712199453</v>
      </c>
      <c r="K40" s="32">
        <f>+J40*((1.11)^(-I40))</f>
        <v>895027.073252906</v>
      </c>
    </row>
    <row r="41" spans="1:11" ht="14.25">
      <c r="A41" s="32" t="str">
        <f>+A20</f>
        <v>Ángela</v>
      </c>
      <c r="B41" s="32">
        <f>+E20</f>
        <v>2500000</v>
      </c>
      <c r="C41" s="65">
        <v>41979</v>
      </c>
      <c r="D41" s="65">
        <v>43805</v>
      </c>
      <c r="E41" s="65">
        <v>42004</v>
      </c>
      <c r="F41" s="32">
        <f>IF((D41&lt;E41),0,(E41-C41))</f>
        <v>25</v>
      </c>
      <c r="G41" s="32">
        <f>+B41*1*(1.038)^I41</f>
        <v>3012498.0622879206</v>
      </c>
      <c r="H41" s="189">
        <v>0.65</v>
      </c>
      <c r="I41" s="32">
        <f>+ROUNDUP(((5*365-F41)/365),0)</f>
        <v>5</v>
      </c>
      <c r="J41" s="32">
        <f>+(F41*G41)/(5*365)*H41</f>
        <v>26823.612883385595</v>
      </c>
      <c r="K41" s="32">
        <f>+J41*((1.11)^(-I41))</f>
        <v>15918.508688973843</v>
      </c>
    </row>
    <row r="42" spans="1:11" ht="14.25">
      <c r="A42" s="32" t="str">
        <f>+A21</f>
        <v>Camila</v>
      </c>
      <c r="B42" s="32">
        <f>+E21</f>
        <v>6345000</v>
      </c>
      <c r="C42" s="65">
        <v>39604</v>
      </c>
      <c r="D42" s="65">
        <v>41430</v>
      </c>
      <c r="E42" s="65">
        <v>42004</v>
      </c>
      <c r="F42" s="32">
        <f>IF((D42&lt;E42),0,(E42-C42))</f>
        <v>0</v>
      </c>
      <c r="G42" s="32">
        <f>+B42*1*(1.038)^I42</f>
        <v>7645720.082086742</v>
      </c>
      <c r="H42" s="189">
        <v>0.9</v>
      </c>
      <c r="I42" s="32">
        <f>+ROUNDUP(((5*365-F42)/365),0)</f>
        <v>5</v>
      </c>
      <c r="J42" s="32">
        <f>+(F42*G42)/(5*365)*H42</f>
        <v>0</v>
      </c>
      <c r="K42" s="32">
        <f>+J42*((1.11)^(-I42))</f>
        <v>0</v>
      </c>
    </row>
    <row r="43" spans="1:13" ht="15">
      <c r="A43" s="85" t="s">
        <v>4</v>
      </c>
      <c r="B43" s="45">
        <f>SUM(B39:B42)</f>
        <v>24845000</v>
      </c>
      <c r="C43" s="45"/>
      <c r="D43" s="45"/>
      <c r="E43" s="38"/>
      <c r="F43" s="38"/>
      <c r="J43" s="45">
        <f>+SUM(J39:J42)</f>
        <v>1250890.3841033308</v>
      </c>
      <c r="K43" s="45">
        <f>+SUM(K39:K42)</f>
        <v>910945.5819418798</v>
      </c>
      <c r="M43" s="46"/>
    </row>
    <row r="46" ht="14.25">
      <c r="A46" s="17" t="s">
        <v>601</v>
      </c>
    </row>
    <row r="47" spans="1:11" ht="30">
      <c r="A47" s="180" t="s">
        <v>87</v>
      </c>
      <c r="B47" s="180" t="s">
        <v>580</v>
      </c>
      <c r="C47" s="180" t="s">
        <v>89</v>
      </c>
      <c r="D47" s="180" t="s">
        <v>604</v>
      </c>
      <c r="E47" s="180" t="s">
        <v>156</v>
      </c>
      <c r="F47" s="180" t="s">
        <v>218</v>
      </c>
      <c r="G47" s="180" t="s">
        <v>605</v>
      </c>
      <c r="H47" s="180" t="s">
        <v>603</v>
      </c>
      <c r="I47" s="180" t="s">
        <v>606</v>
      </c>
      <c r="J47" s="180" t="s">
        <v>607</v>
      </c>
      <c r="K47" s="180" t="s">
        <v>609</v>
      </c>
    </row>
    <row r="48" spans="1:11" ht="14.25">
      <c r="A48" s="32" t="str">
        <f aca="true" t="shared" si="1" ref="A48:B51">+A39</f>
        <v>Leonardo</v>
      </c>
      <c r="B48" s="32">
        <f t="shared" si="1"/>
        <v>12500000</v>
      </c>
      <c r="C48" s="65">
        <v>36708</v>
      </c>
      <c r="D48" s="65">
        <v>40360</v>
      </c>
      <c r="E48" s="65">
        <v>42004</v>
      </c>
      <c r="F48" s="32">
        <f>IF((D48&lt;E48),0,(E48-C48))</f>
        <v>0</v>
      </c>
      <c r="G48" s="32">
        <f>+B48*1*(1.038)^I48</f>
        <v>18150289.15057695</v>
      </c>
      <c r="H48" s="189">
        <v>1</v>
      </c>
      <c r="I48" s="32">
        <f>+ROUNDUP(((10*365-F48)/365),0)</f>
        <v>10</v>
      </c>
      <c r="J48" s="32">
        <f>+(F48*G48*1.5)/(10*365)*H48</f>
        <v>0</v>
      </c>
      <c r="K48" s="32">
        <f>+J48*((1.11)^(-I48))</f>
        <v>0</v>
      </c>
    </row>
    <row r="49" spans="1:11" ht="14.25">
      <c r="A49" s="32" t="str">
        <f t="shared" si="1"/>
        <v>Esther</v>
      </c>
      <c r="B49" s="32">
        <f t="shared" si="1"/>
        <v>3500000</v>
      </c>
      <c r="C49" s="65">
        <v>41126</v>
      </c>
      <c r="D49" s="65">
        <v>44778</v>
      </c>
      <c r="E49" s="65">
        <v>42004</v>
      </c>
      <c r="F49" s="32">
        <f>IF((D49&lt;E49),0,(E49-C49))</f>
        <v>878</v>
      </c>
      <c r="G49" s="32">
        <f>+B49*1*(1.038)^I49</f>
        <v>4716793.598703548</v>
      </c>
      <c r="H49" s="189">
        <v>0.65</v>
      </c>
      <c r="I49" s="32">
        <f>+ROUNDUP(((10*365-F49)/365),0)</f>
        <v>8</v>
      </c>
      <c r="J49" s="32">
        <f>+(F49*G49*1.5)/(10*365)*H49</f>
        <v>1106249.6329233348</v>
      </c>
      <c r="K49" s="32">
        <f>+J49*((1.11)^(-I49))</f>
        <v>480031.0272453943</v>
      </c>
    </row>
    <row r="50" spans="1:11" ht="14.25">
      <c r="A50" s="32" t="str">
        <f t="shared" si="1"/>
        <v>Ángela</v>
      </c>
      <c r="B50" s="32">
        <f t="shared" si="1"/>
        <v>2500000</v>
      </c>
      <c r="C50" s="65">
        <v>41979</v>
      </c>
      <c r="D50" s="65">
        <v>45632</v>
      </c>
      <c r="E50" s="65">
        <v>42004</v>
      </c>
      <c r="F50" s="32">
        <f>IF((D50&lt;E50),0,(E50-C50))</f>
        <v>25</v>
      </c>
      <c r="G50" s="32">
        <f>+B50*1*(1.038)^I50</f>
        <v>3630057.83011539</v>
      </c>
      <c r="H50" s="189">
        <v>0.65</v>
      </c>
      <c r="I50" s="32">
        <f>+ROUNDUP(((10*365-F50)/365),0)</f>
        <v>10</v>
      </c>
      <c r="J50" s="32">
        <f>+(F50*G50*1.5)/(10*365)*H50</f>
        <v>24241.82455042812</v>
      </c>
      <c r="K50" s="32">
        <f>+J50*((1.11)^(-I50))</f>
        <v>8537.594343834602</v>
      </c>
    </row>
    <row r="51" spans="1:11" ht="14.25">
      <c r="A51" s="32" t="str">
        <f t="shared" si="1"/>
        <v>Camila</v>
      </c>
      <c r="B51" s="32">
        <f t="shared" si="1"/>
        <v>6345000</v>
      </c>
      <c r="C51" s="65">
        <v>39604</v>
      </c>
      <c r="D51" s="65">
        <v>43256</v>
      </c>
      <c r="E51" s="65">
        <v>42004</v>
      </c>
      <c r="F51" s="32">
        <f>IF((D51&lt;E51),0,(E51-C51))</f>
        <v>2400</v>
      </c>
      <c r="G51" s="32">
        <f>+B51*1*(1.038)^I51</f>
        <v>7365818.961547921</v>
      </c>
      <c r="H51" s="189">
        <v>0.9</v>
      </c>
      <c r="I51" s="32">
        <f>+ROUNDUP(((10*365-F51)/365),0)</f>
        <v>4</v>
      </c>
      <c r="J51" s="32">
        <f>+(F51*G51*1.5)/(10*365)*H51</f>
        <v>6538425.598743909</v>
      </c>
      <c r="K51" s="32">
        <f>+J51*((1.11)^(-I51))</f>
        <v>4307063.464035181</v>
      </c>
    </row>
    <row r="52" spans="1:11" ht="15">
      <c r="A52" s="85" t="s">
        <v>4</v>
      </c>
      <c r="B52" s="45">
        <f>SUM(B48:B51)</f>
        <v>24845000</v>
      </c>
      <c r="C52" s="45"/>
      <c r="D52" s="45"/>
      <c r="E52" s="38"/>
      <c r="F52" s="38"/>
      <c r="J52" s="45">
        <f>+SUM(J48:J51)</f>
        <v>7668917.056217672</v>
      </c>
      <c r="K52" s="45">
        <f>+SUM(K48:K51)</f>
        <v>4795632.08562441</v>
      </c>
    </row>
    <row r="55" ht="14.25">
      <c r="A55" s="17" t="s">
        <v>602</v>
      </c>
    </row>
    <row r="56" spans="1:11" ht="30">
      <c r="A56" s="180" t="s">
        <v>87</v>
      </c>
      <c r="B56" s="180" t="s">
        <v>580</v>
      </c>
      <c r="C56" s="180" t="s">
        <v>89</v>
      </c>
      <c r="D56" s="180" t="s">
        <v>604</v>
      </c>
      <c r="E56" s="180" t="s">
        <v>156</v>
      </c>
      <c r="F56" s="180" t="s">
        <v>218</v>
      </c>
      <c r="G56" s="180" t="s">
        <v>605</v>
      </c>
      <c r="H56" s="180" t="s">
        <v>603</v>
      </c>
      <c r="I56" s="180" t="s">
        <v>606</v>
      </c>
      <c r="J56" s="180" t="s">
        <v>607</v>
      </c>
      <c r="K56" s="180" t="s">
        <v>609</v>
      </c>
    </row>
    <row r="57" spans="1:11" ht="14.25">
      <c r="A57" s="32" t="str">
        <f aca="true" t="shared" si="2" ref="A57:B60">+A48</f>
        <v>Leonardo</v>
      </c>
      <c r="B57" s="32">
        <f t="shared" si="2"/>
        <v>12500000</v>
      </c>
      <c r="C57" s="65">
        <v>36708</v>
      </c>
      <c r="D57" s="65">
        <v>42186</v>
      </c>
      <c r="E57" s="65">
        <v>42004</v>
      </c>
      <c r="F57" s="32">
        <f>IF((D57&lt;E57),0,(E57-C57))</f>
        <v>5296</v>
      </c>
      <c r="G57" s="32">
        <f>+B57*1*(1.038)^I57</f>
        <v>12975000</v>
      </c>
      <c r="H57" s="189">
        <v>1</v>
      </c>
      <c r="I57" s="32">
        <f>+ROUNDUP(((15*365-F57)/365),0)</f>
        <v>1</v>
      </c>
      <c r="J57" s="32">
        <f>+(F57*G57*2)/(15*365)*H57</f>
        <v>25101589.04109589</v>
      </c>
      <c r="K57" s="32">
        <f>+J57*((1.11)^(-I57))</f>
        <v>22614044.181167465</v>
      </c>
    </row>
    <row r="58" spans="1:11" ht="14.25">
      <c r="A58" s="32" t="str">
        <f t="shared" si="2"/>
        <v>Esther</v>
      </c>
      <c r="B58" s="32">
        <f t="shared" si="2"/>
        <v>3500000</v>
      </c>
      <c r="C58" s="65">
        <v>41126</v>
      </c>
      <c r="D58" s="65">
        <v>46604</v>
      </c>
      <c r="E58" s="65">
        <v>42004</v>
      </c>
      <c r="F58" s="32">
        <f>IF((D58&lt;E58),0,(E58-C58))</f>
        <v>878</v>
      </c>
      <c r="G58" s="32">
        <f>+B58*1*(1.038)^I58</f>
        <v>5683732.630522602</v>
      </c>
      <c r="H58" s="189">
        <v>0.65</v>
      </c>
      <c r="I58" s="32">
        <f>+ROUNDUP(((15*365-F58)/365),0)</f>
        <v>13</v>
      </c>
      <c r="J58" s="32">
        <f>+(F58*G58*2)/(15*365)*H58</f>
        <v>1184915.5113202736</v>
      </c>
      <c r="K58" s="32">
        <f>+J58*((1.11)^(-I58))</f>
        <v>305132.6357373528</v>
      </c>
    </row>
    <row r="59" spans="1:11" ht="14.25">
      <c r="A59" s="32" t="str">
        <f t="shared" si="2"/>
        <v>Ángela</v>
      </c>
      <c r="B59" s="32">
        <f t="shared" si="2"/>
        <v>2500000</v>
      </c>
      <c r="C59" s="65">
        <v>41979</v>
      </c>
      <c r="D59" s="65">
        <v>47458</v>
      </c>
      <c r="E59" s="65">
        <v>42004</v>
      </c>
      <c r="F59" s="32">
        <f>IF((D59&lt;E59),0,(E59-C59))</f>
        <v>25</v>
      </c>
      <c r="G59" s="32">
        <f>+B59*1*(1.038)^I59</f>
        <v>4374216.871686283</v>
      </c>
      <c r="H59" s="189">
        <v>0.65</v>
      </c>
      <c r="I59" s="32">
        <f>+ROUNDUP(((15*365-F59)/365),0)</f>
        <v>15</v>
      </c>
      <c r="J59" s="32">
        <f>+(F59*G59*2)/(15*365)*H59</f>
        <v>25965.67092781812</v>
      </c>
      <c r="K59" s="32">
        <f>+J59*((1.11)^(-I59))</f>
        <v>5426.9380876058</v>
      </c>
    </row>
    <row r="60" spans="1:11" ht="14.25">
      <c r="A60" s="32" t="str">
        <f t="shared" si="2"/>
        <v>Camila</v>
      </c>
      <c r="B60" s="32">
        <f t="shared" si="2"/>
        <v>6345000</v>
      </c>
      <c r="C60" s="65">
        <v>39604</v>
      </c>
      <c r="D60" s="65">
        <v>45082</v>
      </c>
      <c r="E60" s="65">
        <v>42004</v>
      </c>
      <c r="F60" s="32">
        <f>IF((D60&lt;E60),0,(E60-C60))</f>
        <v>2400</v>
      </c>
      <c r="G60" s="32">
        <f>+B60*1*(1.038)^I60</f>
        <v>8875806.139530694</v>
      </c>
      <c r="H60" s="189">
        <v>0.9</v>
      </c>
      <c r="I60" s="32">
        <f>+ROUNDUP(((15*365-F60)/365),0)</f>
        <v>9</v>
      </c>
      <c r="J60" s="32">
        <f>+(F60*G60*2)/(15*365)*H60</f>
        <v>7003375.803246137</v>
      </c>
      <c r="K60" s="32">
        <f>+J60*((1.11)^(-I60))</f>
        <v>2737793.0851900293</v>
      </c>
    </row>
    <row r="61" spans="1:11" ht="15">
      <c r="A61" s="85" t="s">
        <v>4</v>
      </c>
      <c r="B61" s="45">
        <f>SUM(B57:B60)</f>
        <v>24845000</v>
      </c>
      <c r="C61" s="45"/>
      <c r="D61" s="45"/>
      <c r="E61" s="38"/>
      <c r="F61" s="38"/>
      <c r="J61" s="45">
        <f>+SUM(J57:J60)</f>
        <v>33315846.02659012</v>
      </c>
      <c r="K61" s="45">
        <f>+SUM(K57:K60)</f>
        <v>25662396.84018245</v>
      </c>
    </row>
    <row r="64" spans="9:11" ht="15">
      <c r="I64" s="46" t="s">
        <v>610</v>
      </c>
      <c r="J64" s="46"/>
      <c r="K64" s="45">
        <f>+K61+K43+K52</f>
        <v>31368974.507748738</v>
      </c>
    </row>
    <row r="68" spans="1:2" ht="14.25">
      <c r="A68" s="17" t="s">
        <v>832</v>
      </c>
      <c r="B68" s="17" t="s">
        <v>833</v>
      </c>
    </row>
    <row r="69" ht="14.25">
      <c r="B69" s="17" t="s">
        <v>834</v>
      </c>
    </row>
    <row r="72" spans="1:2" ht="14.25">
      <c r="A72" s="17" t="s">
        <v>88</v>
      </c>
      <c r="B72" s="17" t="s">
        <v>839</v>
      </c>
    </row>
    <row r="73" spans="1:2" ht="14.25">
      <c r="A73" s="17" t="s">
        <v>835</v>
      </c>
      <c r="B73" s="17" t="s">
        <v>838</v>
      </c>
    </row>
    <row r="74" spans="1:2" ht="14.25">
      <c r="A74" s="17" t="s">
        <v>836</v>
      </c>
      <c r="B74" s="17" t="s">
        <v>838</v>
      </c>
    </row>
    <row r="75" spans="1:2" ht="14.25">
      <c r="A75" s="17" t="s">
        <v>837</v>
      </c>
      <c r="B75" s="17" t="s">
        <v>838</v>
      </c>
    </row>
    <row r="80" spans="2:8" ht="14.25">
      <c r="B80" s="259" t="s">
        <v>840</v>
      </c>
      <c r="C80" s="259"/>
      <c r="D80" s="259" t="s">
        <v>846</v>
      </c>
      <c r="E80" s="259"/>
      <c r="F80" s="259" t="s">
        <v>848</v>
      </c>
      <c r="G80" s="259" t="s">
        <v>847</v>
      </c>
      <c r="H80" s="259" t="s">
        <v>841</v>
      </c>
    </row>
    <row r="82" spans="2:6" ht="14.25">
      <c r="B82" s="17" t="s">
        <v>842</v>
      </c>
      <c r="C82" s="17" t="s">
        <v>849</v>
      </c>
      <c r="D82" s="17" t="s">
        <v>603</v>
      </c>
      <c r="E82" s="17" t="s">
        <v>853</v>
      </c>
      <c r="F82" s="17" t="s">
        <v>311</v>
      </c>
    </row>
    <row r="83" spans="2:3" ht="14.25">
      <c r="B83" s="17" t="s">
        <v>843</v>
      </c>
      <c r="C83" s="17" t="s">
        <v>850</v>
      </c>
    </row>
    <row r="84" spans="2:3" ht="14.25">
      <c r="B84" s="17" t="s">
        <v>844</v>
      </c>
      <c r="C84" s="17" t="s">
        <v>851</v>
      </c>
    </row>
    <row r="85" spans="2:3" ht="14.25">
      <c r="B85" s="17" t="s">
        <v>845</v>
      </c>
      <c r="C85" s="17" t="s">
        <v>852</v>
      </c>
    </row>
    <row r="89" ht="14.25">
      <c r="A89" s="17" t="s">
        <v>88</v>
      </c>
    </row>
    <row r="91" ht="14.25">
      <c r="A91" s="17" t="s">
        <v>854</v>
      </c>
    </row>
    <row r="92" spans="1:2" ht="14.25">
      <c r="A92" s="17" t="s">
        <v>855</v>
      </c>
      <c r="B92" s="17">
        <v>2500000</v>
      </c>
    </row>
    <row r="93" spans="1:2" ht="14.25">
      <c r="A93" s="17" t="s">
        <v>856</v>
      </c>
      <c r="B93" s="17">
        <v>180</v>
      </c>
    </row>
    <row r="95" spans="1:3" ht="15">
      <c r="A95" s="46" t="s">
        <v>857</v>
      </c>
      <c r="B95" s="46">
        <f>+B92*B93/(360*2)</f>
        <v>625000</v>
      </c>
      <c r="C95" s="17" t="s">
        <v>858</v>
      </c>
    </row>
    <row r="98" spans="1:3" ht="14.25">
      <c r="A98" s="17" t="s">
        <v>860</v>
      </c>
      <c r="B98" s="17">
        <f>+B92*1.045</f>
        <v>2612500</v>
      </c>
      <c r="C98" s="17" t="s">
        <v>859</v>
      </c>
    </row>
    <row r="99" spans="1:2" ht="14.25">
      <c r="A99" s="17" t="s">
        <v>861</v>
      </c>
      <c r="B99" s="17">
        <v>21</v>
      </c>
    </row>
    <row r="100" spans="1:2" ht="14.25">
      <c r="A100" s="17" t="s">
        <v>862</v>
      </c>
      <c r="B100" s="17">
        <f>+B98/30*B99</f>
        <v>1828750</v>
      </c>
    </row>
    <row r="101" spans="1:2" ht="14.25">
      <c r="A101" s="17" t="s">
        <v>856</v>
      </c>
      <c r="B101" s="17">
        <v>180</v>
      </c>
    </row>
    <row r="102" spans="1:3" ht="15">
      <c r="A102" s="46" t="s">
        <v>863</v>
      </c>
      <c r="B102" s="46">
        <f>+B100/360*B101</f>
        <v>914375</v>
      </c>
      <c r="C102" s="17">
        <f>+B102-B95</f>
        <v>289375</v>
      </c>
    </row>
    <row r="103" ht="14.25">
      <c r="C103" s="17">
        <f>+C102/B95</f>
        <v>0.463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="130" zoomScaleNormal="130" zoomScalePageLayoutView="0" workbookViewId="0" topLeftCell="A1">
      <pane xSplit="1" ySplit="3" topLeftCell="C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9" sqref="D39"/>
    </sheetView>
  </sheetViews>
  <sheetFormatPr defaultColWidth="11.421875" defaultRowHeight="12.75"/>
  <cols>
    <col min="1" max="1" width="30.8515625" style="29" customWidth="1"/>
    <col min="2" max="7" width="16.8515625" style="29" customWidth="1"/>
    <col min="8" max="8" width="14.140625" style="29" bestFit="1" customWidth="1"/>
    <col min="9" max="9" width="14.8515625" style="29" bestFit="1" customWidth="1"/>
    <col min="10" max="10" width="19.28125" style="29" bestFit="1" customWidth="1"/>
    <col min="11" max="16384" width="11.421875" style="29" customWidth="1"/>
  </cols>
  <sheetData>
    <row r="1" spans="1:3" s="79" customFormat="1" ht="55.5" customHeight="1">
      <c r="A1" s="81" t="s">
        <v>170</v>
      </c>
      <c r="B1" s="80"/>
      <c r="C1" s="81" t="s">
        <v>171</v>
      </c>
    </row>
    <row r="2" ht="18">
      <c r="A2" s="107" t="s">
        <v>215</v>
      </c>
    </row>
    <row r="3" spans="1:8" ht="45">
      <c r="A3" s="98" t="s">
        <v>60</v>
      </c>
      <c r="B3" s="98" t="s">
        <v>613</v>
      </c>
      <c r="C3" s="98" t="s">
        <v>612</v>
      </c>
      <c r="D3" s="98" t="s">
        <v>61</v>
      </c>
      <c r="E3" s="98" t="s">
        <v>614</v>
      </c>
      <c r="F3" s="98" t="s">
        <v>141</v>
      </c>
      <c r="G3" s="98" t="s">
        <v>142</v>
      </c>
      <c r="H3" s="31" t="s">
        <v>100</v>
      </c>
    </row>
    <row r="4" spans="1:7" ht="29.25" customHeight="1">
      <c r="A4" s="42" t="s">
        <v>450</v>
      </c>
      <c r="B4" s="6">
        <f>+C4</f>
        <v>322654364</v>
      </c>
      <c r="C4" s="6">
        <f>+'Balance 01012014'!F6</f>
        <v>322654364</v>
      </c>
      <c r="D4" s="6">
        <f aca="true" t="shared" si="0" ref="D4:D17">+C4-B4</f>
        <v>0</v>
      </c>
      <c r="E4" s="6"/>
      <c r="F4" s="6"/>
      <c r="G4" s="6"/>
    </row>
    <row r="5" spans="1:11" ht="14.25">
      <c r="A5" s="42" t="s">
        <v>6</v>
      </c>
      <c r="B5" s="6">
        <f>+Deudores!F13</f>
        <v>419141469.33641076</v>
      </c>
      <c r="C5" s="6">
        <f>+'Balance 01012014'!F7</f>
        <v>445836550.73798716</v>
      </c>
      <c r="D5" s="6">
        <f t="shared" si="0"/>
        <v>26695081.4015764</v>
      </c>
      <c r="E5" s="6" t="s">
        <v>887</v>
      </c>
      <c r="F5" s="6">
        <f>-D5*25%</f>
        <v>-6673770.3503941</v>
      </c>
      <c r="G5" s="6">
        <f>-D5*9%</f>
        <v>-2402557.3261418757</v>
      </c>
      <c r="I5" s="29" t="s">
        <v>268</v>
      </c>
      <c r="K5" s="26">
        <f>+(5+6+8+9)/4</f>
        <v>7</v>
      </c>
    </row>
    <row r="6" spans="1:9" ht="28.5">
      <c r="A6" s="42" t="s">
        <v>98</v>
      </c>
      <c r="B6" s="6">
        <f>+C6</f>
        <v>12562000</v>
      </c>
      <c r="C6" s="6">
        <f>+'Balance 01012014'!F8</f>
        <v>12562000</v>
      </c>
      <c r="D6" s="6">
        <f t="shared" si="0"/>
        <v>0</v>
      </c>
      <c r="E6" s="6"/>
      <c r="F6" s="6"/>
      <c r="G6" s="6"/>
      <c r="I6" s="29" t="s">
        <v>269</v>
      </c>
    </row>
    <row r="7" spans="1:8" ht="28.5">
      <c r="A7" s="42" t="s">
        <v>888</v>
      </c>
      <c r="B7" s="6">
        <f>+C7</f>
        <v>385623526</v>
      </c>
      <c r="C7" s="6">
        <f>+Inversiones!E34</f>
        <v>385623526</v>
      </c>
      <c r="D7" s="6">
        <f t="shared" si="0"/>
        <v>0</v>
      </c>
      <c r="E7" s="6"/>
      <c r="F7" s="6"/>
      <c r="G7" s="6"/>
      <c r="H7" s="29" t="s">
        <v>891</v>
      </c>
    </row>
    <row r="8" spans="1:8" ht="28.5">
      <c r="A8" s="42" t="s">
        <v>889</v>
      </c>
      <c r="B8" s="6">
        <f>+C8</f>
        <v>2320000000</v>
      </c>
      <c r="C8" s="6">
        <f>+Inversiones!E35</f>
        <v>2320000000</v>
      </c>
      <c r="D8" s="6">
        <f t="shared" si="0"/>
        <v>0</v>
      </c>
      <c r="E8" s="6"/>
      <c r="F8" s="6"/>
      <c r="G8" s="6"/>
      <c r="H8" s="29" t="s">
        <v>891</v>
      </c>
    </row>
    <row r="9" spans="1:7" ht="28.5">
      <c r="A9" s="42" t="s">
        <v>890</v>
      </c>
      <c r="B9" s="6">
        <f>+Inversiones!C13*0+C9</f>
        <v>1750000000</v>
      </c>
      <c r="C9" s="6">
        <f>+Inversiones!E36</f>
        <v>1750000000</v>
      </c>
      <c r="D9" s="6">
        <f t="shared" si="0"/>
        <v>0</v>
      </c>
      <c r="E9" s="6"/>
      <c r="F9" s="6"/>
      <c r="G9" s="6"/>
    </row>
    <row r="10" spans="1:10" ht="14.25">
      <c r="A10" s="42" t="s">
        <v>126</v>
      </c>
      <c r="B10" s="6">
        <f>+Inventarios!C8</f>
        <v>132342823</v>
      </c>
      <c r="C10" s="6">
        <f>+'Balance 01012014'!F13</f>
        <v>185444000</v>
      </c>
      <c r="D10" s="6">
        <f t="shared" si="0"/>
        <v>53101177</v>
      </c>
      <c r="E10" s="6" t="s">
        <v>887</v>
      </c>
      <c r="F10" s="6">
        <f>-D10*25%</f>
        <v>-13275294.25</v>
      </c>
      <c r="G10" s="6">
        <f>-D10*9%</f>
        <v>-4779105.93</v>
      </c>
      <c r="I10" s="39"/>
      <c r="J10" s="26"/>
    </row>
    <row r="11" spans="1:10" ht="14.25">
      <c r="A11" s="42" t="s">
        <v>21</v>
      </c>
      <c r="B11" s="6">
        <f>+Inventarios!F11</f>
        <v>324727828</v>
      </c>
      <c r="C11" s="6">
        <f>+'Balance 01012014'!F9</f>
        <v>314775828</v>
      </c>
      <c r="D11" s="6">
        <f t="shared" si="0"/>
        <v>-9952000</v>
      </c>
      <c r="E11" s="6" t="s">
        <v>691</v>
      </c>
      <c r="F11" s="6">
        <f>-D11*25%</f>
        <v>2488000</v>
      </c>
      <c r="G11" s="6">
        <f>-D11*9%</f>
        <v>895680</v>
      </c>
      <c r="J11" s="26"/>
    </row>
    <row r="12" spans="1:10" ht="14.25">
      <c r="A12" s="42" t="s">
        <v>99</v>
      </c>
      <c r="B12" s="6">
        <f>+PPYE!C7</f>
        <v>350000000</v>
      </c>
      <c r="C12" s="6">
        <f>+'Balance 01012014'!F14</f>
        <v>1200000000</v>
      </c>
      <c r="D12" s="6">
        <f t="shared" si="0"/>
        <v>850000000</v>
      </c>
      <c r="E12" s="6" t="s">
        <v>887</v>
      </c>
      <c r="F12" s="6">
        <f>-D12*10%</f>
        <v>-85000000</v>
      </c>
      <c r="G12" s="6">
        <v>0</v>
      </c>
      <c r="H12" s="29" t="s">
        <v>892</v>
      </c>
      <c r="I12" s="39"/>
      <c r="J12" s="26"/>
    </row>
    <row r="13" spans="1:10" ht="14.25">
      <c r="A13" s="42" t="s">
        <v>30</v>
      </c>
      <c r="B13" s="6">
        <f>+PPYE!D34</f>
        <v>3342903041.6</v>
      </c>
      <c r="C13" s="6">
        <f>+'Balance 01012014'!F15</f>
        <v>7690877705.627706</v>
      </c>
      <c r="D13" s="6">
        <f t="shared" si="0"/>
        <v>4347974664.027706</v>
      </c>
      <c r="E13" s="6" t="s">
        <v>887</v>
      </c>
      <c r="F13" s="6">
        <f>-PPYE!H37</f>
        <v>-703443666.0069263</v>
      </c>
      <c r="G13" s="6">
        <f>-PPYE!H38</f>
        <v>-161187719.76249343</v>
      </c>
      <c r="I13" s="39"/>
      <c r="J13" s="26"/>
    </row>
    <row r="14" spans="1:10" ht="14.25">
      <c r="A14" s="42" t="s">
        <v>354</v>
      </c>
      <c r="B14" s="6"/>
      <c r="C14" s="6">
        <f>+'Balance 01012014'!F20</f>
        <v>0</v>
      </c>
      <c r="D14" s="6"/>
      <c r="E14" s="6"/>
      <c r="F14" s="6"/>
      <c r="G14" s="6"/>
      <c r="I14" s="39"/>
      <c r="J14" s="26"/>
    </row>
    <row r="15" spans="1:7" ht="14.25">
      <c r="A15" s="42" t="s">
        <v>23</v>
      </c>
      <c r="B15" s="6">
        <f>+'Otros activos'!C23+'Otros activos'!C24+'Otros activos'!C27+'Otros activos'!C29+'Otros activos'!C30+'Otros activos'!C31</f>
        <v>736276000</v>
      </c>
      <c r="C15" s="6">
        <f>+'Balance 01012014'!F17</f>
        <v>0</v>
      </c>
      <c r="D15" s="6">
        <f t="shared" si="0"/>
        <v>-736276000</v>
      </c>
      <c r="E15" s="6" t="s">
        <v>691</v>
      </c>
      <c r="F15" s="6">
        <f>-D15*25%</f>
        <v>184069000</v>
      </c>
      <c r="G15" s="6">
        <f>-D15*9%</f>
        <v>66264840</v>
      </c>
    </row>
    <row r="16" spans="1:7" ht="14.25">
      <c r="A16" s="42" t="s">
        <v>22</v>
      </c>
      <c r="B16" s="6"/>
      <c r="C16" s="6">
        <f>+'Balance 01012014'!F16</f>
        <v>0</v>
      </c>
      <c r="D16" s="6"/>
      <c r="E16" s="6"/>
      <c r="F16" s="6"/>
      <c r="G16" s="6"/>
    </row>
    <row r="17" spans="1:7" ht="14.25">
      <c r="A17" s="42" t="s">
        <v>25</v>
      </c>
      <c r="B17" s="6">
        <f>+'Otros activos'!C25+'Otros activos'!C26</f>
        <v>200456000</v>
      </c>
      <c r="C17" s="6">
        <f>+'Balance 01012014'!F18</f>
        <v>200456000</v>
      </c>
      <c r="D17" s="6">
        <f t="shared" si="0"/>
        <v>0</v>
      </c>
      <c r="E17" s="6"/>
      <c r="F17" s="6"/>
      <c r="G17" s="6"/>
    </row>
    <row r="18" spans="1:8" ht="15">
      <c r="A18" s="86" t="s">
        <v>92</v>
      </c>
      <c r="B18" s="76"/>
      <c r="C18" s="76">
        <f>SUM(C4:C17)</f>
        <v>14828229974.365692</v>
      </c>
      <c r="D18" s="76">
        <f>SUM(D4:D17)</f>
        <v>4531542922.429282</v>
      </c>
      <c r="E18" s="76"/>
      <c r="F18" s="76">
        <f>SUM(F4:F17)</f>
        <v>-621835730.6073204</v>
      </c>
      <c r="G18" s="76">
        <f>SUM(G4:G17)</f>
        <v>-101208863.0186353</v>
      </c>
      <c r="H18" s="37"/>
    </row>
    <row r="19" spans="2:8" ht="14.25">
      <c r="B19" s="24"/>
      <c r="C19" s="128">
        <f>+'Balance 01012014'!F22-C18</f>
        <v>0</v>
      </c>
      <c r="D19" s="24"/>
      <c r="E19" s="24"/>
      <c r="F19" s="24"/>
      <c r="G19" s="24"/>
      <c r="H19" s="37"/>
    </row>
    <row r="20" spans="1:8" ht="15">
      <c r="A20" s="69" t="s">
        <v>32</v>
      </c>
      <c r="B20" s="87"/>
      <c r="C20" s="89"/>
      <c r="D20" s="89"/>
      <c r="E20" s="89"/>
      <c r="F20" s="89"/>
      <c r="G20" s="89"/>
      <c r="H20" s="37"/>
    </row>
    <row r="21" spans="1:8" ht="28.5">
      <c r="A21" s="42" t="s">
        <v>221</v>
      </c>
      <c r="B21" s="6">
        <f>+C21-Pasivos!C24-Pasivos!I25-Pasivos!I26-Pasivos!C28</f>
        <v>807124750</v>
      </c>
      <c r="C21" s="6">
        <f>+'Balance 01012014'!F25+'Balance 01012014'!F26+'Balance 01012014'!F27</f>
        <v>1103546000</v>
      </c>
      <c r="D21" s="6">
        <f aca="true" t="shared" si="1" ref="D21:D29">+C21-B21</f>
        <v>296421250</v>
      </c>
      <c r="E21" s="6" t="s">
        <v>691</v>
      </c>
      <c r="F21" s="6">
        <f>+D21*25%</f>
        <v>74105312.5</v>
      </c>
      <c r="G21" s="6">
        <f>+D21*9%</f>
        <v>26677912.5</v>
      </c>
      <c r="H21" s="37"/>
    </row>
    <row r="22" spans="1:8" ht="28.5">
      <c r="A22" s="42" t="str">
        <f>+'Balance 01012014'!A31</f>
        <v>Pasivo financiero por acciones preferenciales</v>
      </c>
      <c r="B22" s="6">
        <f>+C22-0</f>
        <v>750000000</v>
      </c>
      <c r="C22" s="6">
        <f>+'Balance 01012014'!F31</f>
        <v>750000000</v>
      </c>
      <c r="D22" s="6">
        <f t="shared" si="1"/>
        <v>0</v>
      </c>
      <c r="E22" s="6"/>
      <c r="F22" s="6"/>
      <c r="G22" s="6"/>
      <c r="H22" s="37"/>
    </row>
    <row r="23" spans="1:8" ht="14.25">
      <c r="A23" s="42" t="str">
        <f>+'Balance 01012014'!A33</f>
        <v>Derivados financieros</v>
      </c>
      <c r="B23" s="6">
        <f>+C23-C23</f>
        <v>0</v>
      </c>
      <c r="C23" s="6">
        <f>+'Balance 01012014'!F33</f>
        <v>22000000</v>
      </c>
      <c r="D23" s="6">
        <f t="shared" si="1"/>
        <v>22000000</v>
      </c>
      <c r="E23" s="6" t="s">
        <v>691</v>
      </c>
      <c r="F23" s="6">
        <f>+D23*25%</f>
        <v>5500000</v>
      </c>
      <c r="G23" s="6">
        <f>+D23*9%</f>
        <v>1980000</v>
      </c>
      <c r="H23" s="37"/>
    </row>
    <row r="24" spans="1:8" ht="14.25">
      <c r="A24" s="7" t="s">
        <v>105</v>
      </c>
      <c r="B24" s="6">
        <f>+Pasivos!C36</f>
        <v>47813302.777777776</v>
      </c>
      <c r="C24" s="6">
        <f>+'Balance 01012014'!F28</f>
        <v>83750023.81185833</v>
      </c>
      <c r="D24" s="6">
        <f t="shared" si="1"/>
        <v>35936721.03408055</v>
      </c>
      <c r="E24" s="6" t="s">
        <v>691</v>
      </c>
      <c r="F24" s="6">
        <f>+D24*25%</f>
        <v>8984180.258520138</v>
      </c>
      <c r="G24" s="6">
        <f>+D24*9%</f>
        <v>3234304.8930672496</v>
      </c>
      <c r="H24" s="37"/>
    </row>
    <row r="25" spans="1:8" ht="14.25">
      <c r="A25" s="7" t="s">
        <v>893</v>
      </c>
      <c r="B25" s="6">
        <f>+C25-C25</f>
        <v>0</v>
      </c>
      <c r="C25" s="6">
        <f>+arrendamiento!D41</f>
        <v>141186794.916614</v>
      </c>
      <c r="D25" s="6">
        <f t="shared" si="1"/>
        <v>141186794.916614</v>
      </c>
      <c r="E25" s="6" t="s">
        <v>691</v>
      </c>
      <c r="F25" s="6">
        <f>+D25*25%</f>
        <v>35296698.7291535</v>
      </c>
      <c r="G25" s="6">
        <f>+D25*9%</f>
        <v>12706811.54249526</v>
      </c>
      <c r="H25" s="37"/>
    </row>
    <row r="26" spans="1:8" ht="14.25">
      <c r="A26" s="7" t="s">
        <v>33</v>
      </c>
      <c r="B26" s="6">
        <f>+C26-0</f>
        <v>1999891090.396502</v>
      </c>
      <c r="C26" s="6">
        <f>+'Balance 01012014'!F30</f>
        <v>1999891090.396502</v>
      </c>
      <c r="D26" s="6">
        <f t="shared" si="1"/>
        <v>0</v>
      </c>
      <c r="E26" s="6"/>
      <c r="F26" s="6"/>
      <c r="G26" s="6"/>
      <c r="H26" s="37"/>
    </row>
    <row r="27" spans="1:8" ht="19.5" customHeight="1">
      <c r="A27" s="7" t="s">
        <v>286</v>
      </c>
      <c r="B27" s="6">
        <f>+C27-0</f>
        <v>125600000</v>
      </c>
      <c r="C27" s="6">
        <f>+'Balance 01012014'!F32</f>
        <v>125600000</v>
      </c>
      <c r="D27" s="6">
        <f t="shared" si="1"/>
        <v>0</v>
      </c>
      <c r="E27" s="6"/>
      <c r="F27" s="6"/>
      <c r="G27" s="6"/>
      <c r="H27" s="37"/>
    </row>
    <row r="28" spans="1:8" ht="19.5" customHeight="1">
      <c r="A28" s="7" t="s">
        <v>287</v>
      </c>
      <c r="B28" s="6"/>
      <c r="C28" s="6">
        <f>+'Balance 01012014'!F35</f>
        <v>401437873.20271957</v>
      </c>
      <c r="D28" s="6"/>
      <c r="E28" s="6"/>
      <c r="F28" s="6"/>
      <c r="G28" s="6"/>
      <c r="H28" s="37"/>
    </row>
    <row r="29" spans="1:8" ht="14.25">
      <c r="A29" s="7" t="s">
        <v>113</v>
      </c>
      <c r="B29" s="6">
        <f>+C29-Pasivos!C53</f>
        <v>284032628.5847367</v>
      </c>
      <c r="C29" s="6">
        <f>+'Balance 01012014'!F36</f>
        <v>410032628.5847367</v>
      </c>
      <c r="D29" s="6">
        <f t="shared" si="1"/>
        <v>126000000</v>
      </c>
      <c r="E29" s="6" t="s">
        <v>691</v>
      </c>
      <c r="F29" s="6">
        <f>+D29*25%</f>
        <v>31500000</v>
      </c>
      <c r="G29" s="6">
        <f>+D29*9%</f>
        <v>11340000</v>
      </c>
      <c r="H29" s="37"/>
    </row>
    <row r="30" spans="1:7" ht="15">
      <c r="A30" s="11" t="s">
        <v>93</v>
      </c>
      <c r="B30" s="8">
        <f>SUM(B21:B29)</f>
        <v>4014461771.7590165</v>
      </c>
      <c r="C30" s="8">
        <f>SUM(C21:C29)</f>
        <v>5037444410.912431</v>
      </c>
      <c r="D30" s="8">
        <f>SUM(D21:D29)</f>
        <v>621544765.9506946</v>
      </c>
      <c r="E30" s="8"/>
      <c r="F30" s="8">
        <f>SUM(F21:F29)</f>
        <v>155386191.48767364</v>
      </c>
      <c r="G30" s="8">
        <f>SUM(G21:G29)</f>
        <v>55939028.93556251</v>
      </c>
    </row>
    <row r="31" spans="3:7" ht="15">
      <c r="C31" s="127">
        <f>+'Balance 01012014'!F37-C30</f>
        <v>0</v>
      </c>
      <c r="D31" s="27"/>
      <c r="E31" s="27"/>
      <c r="F31" s="27"/>
      <c r="G31" s="27"/>
    </row>
    <row r="32" spans="2:7" ht="15">
      <c r="B32" s="27"/>
      <c r="C32" s="24"/>
      <c r="D32" s="27"/>
      <c r="E32" s="27"/>
      <c r="F32" s="27"/>
      <c r="G32" s="27"/>
    </row>
    <row r="33" spans="1:8" ht="15">
      <c r="A33" s="7" t="s">
        <v>124</v>
      </c>
      <c r="B33" s="6">
        <v>325126000</v>
      </c>
      <c r="C33" s="6"/>
      <c r="D33" s="8">
        <f>+B33</f>
        <v>325126000</v>
      </c>
      <c r="E33" s="6" t="s">
        <v>691</v>
      </c>
      <c r="F33" s="6">
        <f>+D33*25%</f>
        <v>81281500</v>
      </c>
      <c r="G33" s="8"/>
      <c r="H33" s="29" t="s">
        <v>695</v>
      </c>
    </row>
    <row r="34" spans="1:8" ht="15">
      <c r="A34" s="7" t="s">
        <v>125</v>
      </c>
      <c r="B34" s="6">
        <v>116000000</v>
      </c>
      <c r="C34" s="6"/>
      <c r="D34" s="8">
        <f>+B34</f>
        <v>116000000</v>
      </c>
      <c r="E34" s="6" t="s">
        <v>691</v>
      </c>
      <c r="F34" s="6">
        <f>+D34*25%</f>
        <v>29000000</v>
      </c>
      <c r="G34" s="8"/>
      <c r="H34" s="29" t="s">
        <v>695</v>
      </c>
    </row>
    <row r="35" spans="2:7" ht="15">
      <c r="B35" s="27"/>
      <c r="C35" s="24"/>
      <c r="D35" s="27"/>
      <c r="E35" s="27"/>
      <c r="F35" s="27"/>
      <c r="G35" s="27"/>
    </row>
    <row r="36" spans="2:3" ht="14.25">
      <c r="B36" s="24"/>
      <c r="C36" s="24"/>
    </row>
    <row r="37" spans="1:8" ht="15">
      <c r="A37" s="69" t="s">
        <v>4</v>
      </c>
      <c r="B37" s="76"/>
      <c r="C37" s="76"/>
      <c r="D37" s="76"/>
      <c r="E37" s="76"/>
      <c r="F37" s="76">
        <f>+F18+F30+F33+F34</f>
        <v>-356168039.1196468</v>
      </c>
      <c r="G37" s="76">
        <f>+G18+G30</f>
        <v>-45269834.0830728</v>
      </c>
      <c r="H37" s="39"/>
    </row>
    <row r="38" spans="1:8" ht="15">
      <c r="A38" s="10"/>
      <c r="B38" s="27"/>
      <c r="C38" s="27"/>
      <c r="D38" s="27"/>
      <c r="E38" s="27"/>
      <c r="F38" s="27"/>
      <c r="G38" s="27"/>
      <c r="H38" s="39"/>
    </row>
    <row r="39" spans="6:8" ht="15">
      <c r="F39" s="27"/>
      <c r="G39" s="27"/>
      <c r="H39" s="39"/>
    </row>
    <row r="40" spans="6:8" ht="15">
      <c r="F40" s="27"/>
      <c r="G40" s="27"/>
      <c r="H40" s="39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" width="35.7109375" style="2" bestFit="1" customWidth="1"/>
    <col min="2" max="4" width="18.7109375" style="2" customWidth="1"/>
    <col min="5" max="16384" width="11.421875" style="2" customWidth="1"/>
  </cols>
  <sheetData>
    <row r="1" spans="1:3" s="79" customFormat="1" ht="48.75" customHeight="1">
      <c r="A1" s="81" t="s">
        <v>170</v>
      </c>
      <c r="B1" s="80"/>
      <c r="C1" s="81" t="s">
        <v>171</v>
      </c>
    </row>
    <row r="2" ht="14.25"/>
    <row r="3" ht="15">
      <c r="A3" s="1" t="s">
        <v>216</v>
      </c>
    </row>
    <row r="5" spans="1:4" ht="15">
      <c r="A5" s="69" t="s">
        <v>1</v>
      </c>
      <c r="B5" s="70" t="s">
        <v>90</v>
      </c>
      <c r="C5" s="70" t="s">
        <v>37</v>
      </c>
      <c r="D5" s="70" t="s">
        <v>145</v>
      </c>
    </row>
    <row r="6" spans="1:5" ht="14.25">
      <c r="A6" s="5" t="str">
        <f>+'Balance 01012014'!A40</f>
        <v>Capital suscrito y pagado</v>
      </c>
      <c r="B6" s="6">
        <f>+'Balance 01012014'!B40</f>
        <v>3250000000</v>
      </c>
      <c r="C6" s="6">
        <f>-D23</f>
        <v>-750000000</v>
      </c>
      <c r="D6" s="6">
        <f aca="true" t="shared" si="0" ref="D6:D13">+B6+C6</f>
        <v>2500000000</v>
      </c>
      <c r="E6" s="2" t="s">
        <v>880</v>
      </c>
    </row>
    <row r="7" spans="1:5" ht="14.25">
      <c r="A7" s="5" t="str">
        <f>+'Balance 01012014'!A41</f>
        <v>Reservas</v>
      </c>
      <c r="B7" s="6">
        <f>+'Balance 01012014'!B41</f>
        <v>650256000</v>
      </c>
      <c r="C7" s="6">
        <f>-B7</f>
        <v>-650256000</v>
      </c>
      <c r="D7" s="6">
        <f t="shared" si="0"/>
        <v>0</v>
      </c>
      <c r="E7" s="2" t="s">
        <v>688</v>
      </c>
    </row>
    <row r="8" spans="1:4" ht="14.25">
      <c r="A8" s="5" t="str">
        <f>+'Balance 01012014'!A42</f>
        <v>Utilidad  del ejercicio</v>
      </c>
      <c r="B8" s="6">
        <f>+'Balance 01012014'!B42</f>
        <v>845589107</v>
      </c>
      <c r="C8" s="6"/>
      <c r="D8" s="6">
        <f t="shared" si="0"/>
        <v>845589107</v>
      </c>
    </row>
    <row r="9" spans="1:4" ht="14.25">
      <c r="A9" s="5" t="str">
        <f>+'Balance 01012014'!A43</f>
        <v>Superávit por Valorización de activos</v>
      </c>
      <c r="B9" s="6">
        <f>+'Balance 01012014'!B43</f>
        <v>5289871526</v>
      </c>
      <c r="C9" s="6">
        <f>-B9</f>
        <v>-5289871526</v>
      </c>
      <c r="D9" s="6">
        <f t="shared" si="0"/>
        <v>0</v>
      </c>
    </row>
    <row r="10" spans="1:4" ht="14.25">
      <c r="A10" s="5" t="str">
        <f>+'Balance 01012014'!A44</f>
        <v>Otras reservas - variación del VR de instrumentos de patrimonio</v>
      </c>
      <c r="B10" s="6"/>
      <c r="C10" s="6"/>
      <c r="D10" s="6">
        <f t="shared" si="0"/>
        <v>0</v>
      </c>
    </row>
    <row r="11" spans="1:4" ht="14.25">
      <c r="A11" s="5" t="str">
        <f>+'Balance 01012014'!A45</f>
        <v>Otras reservas- superavit por revaluación</v>
      </c>
      <c r="B11" s="6"/>
      <c r="C11" s="6"/>
      <c r="D11" s="6">
        <f t="shared" si="0"/>
        <v>0</v>
      </c>
    </row>
    <row r="12" spans="1:4" ht="14.25">
      <c r="A12" s="5" t="str">
        <f>+'Balance 01012014'!A46</f>
        <v>Resultados de ejercicios anteriores</v>
      </c>
      <c r="B12" s="6">
        <f>+'Balance 01012014'!B46</f>
        <v>1470970170.7</v>
      </c>
      <c r="C12" s="6"/>
      <c r="D12" s="6">
        <f t="shared" si="0"/>
        <v>1470970170.7</v>
      </c>
    </row>
    <row r="13" spans="1:5" ht="14.25">
      <c r="A13" s="5" t="str">
        <f>+'Balance 01012014'!A47</f>
        <v>Revalorización patrimonio</v>
      </c>
      <c r="B13" s="6">
        <f>+'Balance 01012014'!B47</f>
        <v>152600000</v>
      </c>
      <c r="C13" s="6">
        <f>-B13</f>
        <v>-152600000</v>
      </c>
      <c r="D13" s="6">
        <f t="shared" si="0"/>
        <v>0</v>
      </c>
      <c r="E13" s="2" t="s">
        <v>688</v>
      </c>
    </row>
    <row r="14" spans="1:4" ht="15">
      <c r="A14" s="69" t="s">
        <v>51</v>
      </c>
      <c r="B14" s="76">
        <f>SUM(B6:B13)</f>
        <v>11659286803.7</v>
      </c>
      <c r="C14" s="76">
        <f>SUM(C6:C13)</f>
        <v>-6842727526</v>
      </c>
      <c r="D14" s="76">
        <f>SUM(D6:D13)</f>
        <v>4816559277.7</v>
      </c>
    </row>
    <row r="16" spans="2:4" ht="15">
      <c r="B16" s="9"/>
      <c r="D16" s="140">
        <f>+'Balance 01012014'!F39</f>
        <v>9790785563.448795</v>
      </c>
    </row>
    <row r="20" ht="14.25">
      <c r="A20" s="5" t="str">
        <f>+A6</f>
        <v>Capital suscrito y pagado</v>
      </c>
    </row>
    <row r="22" spans="1:4" ht="14.25">
      <c r="A22" s="2" t="s">
        <v>582</v>
      </c>
      <c r="B22" s="13">
        <v>2500000</v>
      </c>
      <c r="C22" s="2" t="s">
        <v>583</v>
      </c>
      <c r="D22" s="13">
        <f>+B22*1000</f>
        <v>2500000000</v>
      </c>
    </row>
    <row r="23" spans="2:5" ht="14.25">
      <c r="B23" s="13">
        <v>750000</v>
      </c>
      <c r="C23" s="2" t="s">
        <v>584</v>
      </c>
      <c r="D23" s="13">
        <f>+B23*1000</f>
        <v>750000000</v>
      </c>
      <c r="E23" s="2" t="s">
        <v>585</v>
      </c>
    </row>
    <row r="24" ht="15">
      <c r="D24" s="145">
        <f>SUM(D22:D23)</f>
        <v>3250000000</v>
      </c>
    </row>
    <row r="26" ht="14.25">
      <c r="D26" s="13" t="s">
        <v>0</v>
      </c>
    </row>
    <row r="27" spans="1:4" ht="14.25">
      <c r="A27" s="2" t="s">
        <v>584</v>
      </c>
      <c r="B27" s="2" t="s">
        <v>874</v>
      </c>
      <c r="D27" s="9"/>
    </row>
    <row r="28" ht="14.25">
      <c r="B28" s="2" t="s">
        <v>875</v>
      </c>
    </row>
    <row r="29" ht="14.25">
      <c r="B29" s="2" t="s">
        <v>876</v>
      </c>
    </row>
    <row r="31" ht="14.25">
      <c r="A31" s="2" t="s">
        <v>877</v>
      </c>
    </row>
    <row r="33" ht="14.25">
      <c r="A33" s="2" t="s">
        <v>878</v>
      </c>
    </row>
    <row r="34" ht="14.25">
      <c r="A34" s="2" t="s">
        <v>879</v>
      </c>
    </row>
  </sheetData>
  <sheetProtection/>
  <printOptions/>
  <pageMargins left="0.75" right="0.75" top="1" bottom="1" header="0" footer="0"/>
  <pageSetup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9"/>
  <sheetViews>
    <sheetView showGridLines="0" zoomScale="170" zoomScaleNormal="170" zoomScalePageLayoutView="0" workbookViewId="0" topLeftCell="C7">
      <selection activeCell="C16" sqref="C16"/>
    </sheetView>
  </sheetViews>
  <sheetFormatPr defaultColWidth="11.421875" defaultRowHeight="12.75"/>
  <cols>
    <col min="1" max="1" width="17.421875" style="44" customWidth="1"/>
    <col min="2" max="2" width="26.57421875" style="44" customWidth="1"/>
    <col min="3" max="3" width="29.00390625" style="44" customWidth="1"/>
    <col min="4" max="5" width="21.7109375" style="44" customWidth="1"/>
    <col min="6" max="16384" width="11.421875" style="44" customWidth="1"/>
  </cols>
  <sheetData>
    <row r="2" spans="1:4" ht="12.75">
      <c r="A2" s="44" t="s">
        <v>517</v>
      </c>
      <c r="B2" s="44" t="s">
        <v>518</v>
      </c>
      <c r="C2" s="170"/>
      <c r="D2" s="170"/>
    </row>
    <row r="3" spans="3:4" ht="12.75">
      <c r="C3" s="170"/>
      <c r="D3" s="170"/>
    </row>
    <row r="4" spans="3:5" ht="12.75">
      <c r="C4" s="62" t="s">
        <v>510</v>
      </c>
      <c r="D4" s="62" t="s">
        <v>519</v>
      </c>
      <c r="E4" s="62" t="s">
        <v>520</v>
      </c>
    </row>
    <row r="5" spans="2:5" ht="102">
      <c r="B5" s="170" t="s">
        <v>450</v>
      </c>
      <c r="C5" s="171" t="s">
        <v>526</v>
      </c>
      <c r="D5" s="171" t="s">
        <v>527</v>
      </c>
      <c r="E5" s="171" t="s">
        <v>528</v>
      </c>
    </row>
    <row r="6" spans="2:5" ht="127.5">
      <c r="B6" s="171" t="s">
        <v>242</v>
      </c>
      <c r="C6" s="171" t="s">
        <v>529</v>
      </c>
      <c r="D6" s="171" t="s">
        <v>530</v>
      </c>
      <c r="E6" s="171" t="s">
        <v>531</v>
      </c>
    </row>
    <row r="7" spans="2:5" ht="140.25">
      <c r="B7" s="171" t="s">
        <v>354</v>
      </c>
      <c r="C7" s="171" t="s">
        <v>532</v>
      </c>
      <c r="D7" s="171" t="s">
        <v>533</v>
      </c>
      <c r="E7" s="170"/>
    </row>
    <row r="8" spans="2:5" ht="102">
      <c r="B8" s="171" t="s">
        <v>534</v>
      </c>
      <c r="C8" s="171" t="s">
        <v>535</v>
      </c>
      <c r="D8" s="171" t="s">
        <v>537</v>
      </c>
      <c r="E8" s="171" t="s">
        <v>536</v>
      </c>
    </row>
    <row r="9" spans="2:5" ht="12.75">
      <c r="B9" s="170"/>
      <c r="C9" s="170"/>
      <c r="D9" s="170"/>
      <c r="E9" s="170"/>
    </row>
    <row r="10" spans="2:5" ht="12.75">
      <c r="B10" s="170"/>
      <c r="C10" s="170"/>
      <c r="D10" s="170"/>
      <c r="E10" s="170"/>
    </row>
    <row r="11" spans="2:5" ht="12.75">
      <c r="B11" s="170"/>
      <c r="C11" s="170"/>
      <c r="D11" s="170"/>
      <c r="E11" s="170"/>
    </row>
    <row r="12" spans="2:5" ht="12.75">
      <c r="B12" s="170"/>
      <c r="C12" s="170"/>
      <c r="D12" s="170"/>
      <c r="E12" s="170"/>
    </row>
    <row r="13" spans="2:5" ht="12.75">
      <c r="B13" s="170"/>
      <c r="C13" s="170"/>
      <c r="D13" s="170"/>
      <c r="E13" s="170"/>
    </row>
    <row r="14" spans="2:5" ht="12.75">
      <c r="B14" s="170"/>
      <c r="C14" s="170"/>
      <c r="D14" s="170"/>
      <c r="E14" s="170"/>
    </row>
    <row r="15" spans="2:5" ht="12.75">
      <c r="B15" s="170"/>
      <c r="C15" s="170"/>
      <c r="D15" s="170"/>
      <c r="E15" s="170"/>
    </row>
    <row r="16" spans="2:5" ht="12.75">
      <c r="B16" s="170"/>
      <c r="C16" s="170"/>
      <c r="D16" s="170"/>
      <c r="E16" s="170"/>
    </row>
    <row r="17" spans="3:4" ht="12.75">
      <c r="C17" s="170"/>
      <c r="D17" s="170"/>
    </row>
    <row r="18" spans="2:4" ht="38.25">
      <c r="B18" s="152" t="s">
        <v>517</v>
      </c>
      <c r="C18" s="171" t="s">
        <v>524</v>
      </c>
      <c r="D18" s="170"/>
    </row>
    <row r="19" spans="2:4" ht="12.75">
      <c r="B19" s="152" t="s">
        <v>521</v>
      </c>
      <c r="C19" s="171" t="s">
        <v>525</v>
      </c>
      <c r="D19" s="170"/>
    </row>
    <row r="20" spans="2:4" ht="12.75">
      <c r="B20" s="152" t="s">
        <v>522</v>
      </c>
      <c r="C20" s="171" t="s">
        <v>523</v>
      </c>
      <c r="D20" s="170"/>
    </row>
    <row r="21" spans="3:4" ht="12.75">
      <c r="C21" s="170"/>
      <c r="D21" s="170"/>
    </row>
    <row r="22" spans="3:4" ht="12.75">
      <c r="C22" s="170"/>
      <c r="D22" s="170"/>
    </row>
    <row r="23" spans="3:4" ht="12.75">
      <c r="C23" s="170"/>
      <c r="D23" s="170"/>
    </row>
    <row r="24" spans="3:4" ht="12.75">
      <c r="C24" s="170"/>
      <c r="D24" s="170"/>
    </row>
    <row r="25" spans="3:4" ht="12.75">
      <c r="C25" s="170"/>
      <c r="D25" s="170"/>
    </row>
    <row r="26" spans="3:4" ht="12.75">
      <c r="C26" s="170"/>
      <c r="D26" s="170"/>
    </row>
    <row r="27" spans="3:4" ht="12.75">
      <c r="C27" s="170"/>
      <c r="D27" s="170"/>
    </row>
    <row r="28" spans="3:4" ht="12.75">
      <c r="C28" s="170"/>
      <c r="D28" s="170"/>
    </row>
    <row r="29" spans="3:4" ht="12.75">
      <c r="C29" s="170"/>
      <c r="D29" s="1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tabSelected="1" zoomScale="130" zoomScaleNormal="130" workbookViewId="0" topLeftCell="A1">
      <pane xSplit="1" ySplit="4" topLeftCell="D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1" sqref="G31"/>
    </sheetView>
  </sheetViews>
  <sheetFormatPr defaultColWidth="11.421875" defaultRowHeight="12.75"/>
  <cols>
    <col min="1" max="1" width="31.8515625" style="16" customWidth="1"/>
    <col min="2" max="2" width="21.57421875" style="26" customWidth="1"/>
    <col min="3" max="4" width="21.57421875" style="16" customWidth="1"/>
    <col min="5" max="5" width="21.57421875" style="17" customWidth="1"/>
    <col min="6" max="6" width="21.57421875" style="41" customWidth="1"/>
    <col min="7" max="7" width="21.57421875" style="16" customWidth="1"/>
    <col min="8" max="16384" width="11.421875" style="16" customWidth="1"/>
  </cols>
  <sheetData>
    <row r="1" spans="1:6" s="79" customFormat="1" ht="62.25" customHeight="1">
      <c r="A1" s="103" t="s">
        <v>170</v>
      </c>
      <c r="B1" s="81" t="s">
        <v>171</v>
      </c>
      <c r="C1" s="81"/>
      <c r="D1" s="81" t="s">
        <v>217</v>
      </c>
      <c r="E1" s="81"/>
      <c r="F1" s="81"/>
    </row>
    <row r="2" spans="1:6" s="101" customFormat="1" ht="15">
      <c r="A2" s="28" t="s">
        <v>62</v>
      </c>
      <c r="B2" s="100"/>
      <c r="D2" s="100" t="s">
        <v>172</v>
      </c>
      <c r="E2" s="102" t="s">
        <v>130</v>
      </c>
      <c r="F2" s="21"/>
    </row>
    <row r="3" spans="1:6" s="101" customFormat="1" ht="15">
      <c r="A3" s="28" t="s">
        <v>97</v>
      </c>
      <c r="B3" s="100"/>
      <c r="C3" s="100"/>
      <c r="D3" s="100"/>
      <c r="E3" s="100"/>
      <c r="F3" s="21"/>
    </row>
    <row r="4" spans="1:6" ht="15">
      <c r="A4" s="82" t="s">
        <v>618</v>
      </c>
      <c r="B4" s="73" t="s">
        <v>174</v>
      </c>
      <c r="C4" s="73" t="s">
        <v>42</v>
      </c>
      <c r="D4" s="73" t="s">
        <v>175</v>
      </c>
      <c r="E4" s="73" t="s">
        <v>81</v>
      </c>
      <c r="F4" s="73" t="s">
        <v>145</v>
      </c>
    </row>
    <row r="5" spans="2:8" ht="15">
      <c r="B5" s="110"/>
      <c r="C5" s="24"/>
      <c r="D5" s="24"/>
      <c r="E5" s="24"/>
      <c r="F5" s="24"/>
      <c r="H5" s="25"/>
    </row>
    <row r="6" spans="1:7" ht="14.25">
      <c r="A6" s="104" t="s">
        <v>96</v>
      </c>
      <c r="B6" s="111">
        <f>+Efectivo!C11</f>
        <v>190128000</v>
      </c>
      <c r="C6" s="6">
        <f>+Ajustes!D34</f>
        <v>132526364</v>
      </c>
      <c r="D6" s="6"/>
      <c r="E6" s="6"/>
      <c r="F6" s="6">
        <f>+B6+C6+D6+E6</f>
        <v>322654364</v>
      </c>
      <c r="G6" s="16" t="s">
        <v>900</v>
      </c>
    </row>
    <row r="7" spans="1:8" ht="14.25">
      <c r="A7" s="104" t="s">
        <v>173</v>
      </c>
      <c r="B7" s="111">
        <f>+Deudores!C13</f>
        <v>394205499</v>
      </c>
      <c r="C7" s="6">
        <f>-Ajustes!E45+Ajustes!D95</f>
        <v>29650000</v>
      </c>
      <c r="D7" s="6"/>
      <c r="E7" s="6">
        <f>-Ajustes!E51+Ajustes!D56</f>
        <v>21981051.73798713</v>
      </c>
      <c r="F7" s="6">
        <f aca="true" t="shared" si="0" ref="F7:F21">+B7+C7+D7+E7</f>
        <v>445836550.73798716</v>
      </c>
      <c r="G7" s="16" t="s">
        <v>901</v>
      </c>
      <c r="H7" s="49"/>
    </row>
    <row r="8" spans="1:7" ht="28.5">
      <c r="A8" s="104" t="s">
        <v>98</v>
      </c>
      <c r="B8" s="111"/>
      <c r="C8" s="6">
        <f>+Ajustes!D46</f>
        <v>12562000</v>
      </c>
      <c r="D8" s="6"/>
      <c r="E8" s="6"/>
      <c r="F8" s="6">
        <f t="shared" si="0"/>
        <v>12562000</v>
      </c>
      <c r="G8" s="16" t="s">
        <v>902</v>
      </c>
    </row>
    <row r="9" spans="1:7" ht="14.25">
      <c r="A9" s="104" t="s">
        <v>21</v>
      </c>
      <c r="B9" s="111">
        <f>+Inventarios!C11</f>
        <v>457070651</v>
      </c>
      <c r="C9" s="6">
        <f>-Ajustes!E67</f>
        <v>-132342823</v>
      </c>
      <c r="D9" s="6"/>
      <c r="E9" s="6">
        <f>-Ajustes!E62</f>
        <v>-9952000</v>
      </c>
      <c r="F9" s="6">
        <f t="shared" si="0"/>
        <v>314775828</v>
      </c>
      <c r="G9" s="16" t="s">
        <v>903</v>
      </c>
    </row>
    <row r="10" spans="1:8" ht="15">
      <c r="A10" s="104" t="s">
        <v>29</v>
      </c>
      <c r="B10" s="111">
        <f>+Inversiones!C14+Inversiones!C54</f>
        <v>4420278364</v>
      </c>
      <c r="C10" s="6">
        <f>+Ajustes!D10-Ajustes!E26-Ajustes!E33</f>
        <v>-4220278364</v>
      </c>
      <c r="D10" s="6"/>
      <c r="E10" s="6">
        <f>-Ajustes!E20</f>
        <v>-200000000</v>
      </c>
      <c r="F10" s="6">
        <f t="shared" si="0"/>
        <v>0</v>
      </c>
      <c r="H10" s="25"/>
    </row>
    <row r="11" spans="1:8" ht="15">
      <c r="A11" s="104" t="s">
        <v>242</v>
      </c>
      <c r="B11" s="111"/>
      <c r="C11" s="6">
        <f>+Ajustes!D28</f>
        <v>2705623526</v>
      </c>
      <c r="D11" s="6"/>
      <c r="E11" s="6"/>
      <c r="F11" s="6">
        <f t="shared" si="0"/>
        <v>2705623526</v>
      </c>
      <c r="G11" s="16" t="s">
        <v>904</v>
      </c>
      <c r="H11" s="25"/>
    </row>
    <row r="12" spans="1:8" ht="29.25">
      <c r="A12" s="104" t="s">
        <v>226</v>
      </c>
      <c r="B12" s="111"/>
      <c r="C12" s="6">
        <f>+Ajustes!D27</f>
        <v>1750000000</v>
      </c>
      <c r="D12" s="6"/>
      <c r="E12" s="6"/>
      <c r="F12" s="6">
        <f t="shared" si="0"/>
        <v>1750000000</v>
      </c>
      <c r="G12" s="16" t="s">
        <v>905</v>
      </c>
      <c r="H12" s="25"/>
    </row>
    <row r="13" spans="1:7" ht="14.25">
      <c r="A13" s="104" t="s">
        <v>126</v>
      </c>
      <c r="B13" s="111"/>
      <c r="C13" s="6">
        <f>+Ajustes!D68</f>
        <v>132342823</v>
      </c>
      <c r="D13" s="6"/>
      <c r="E13" s="6">
        <f>+Ajustes!D70</f>
        <v>53101177</v>
      </c>
      <c r="F13" s="6">
        <f t="shared" si="0"/>
        <v>185444000</v>
      </c>
      <c r="G13" s="16" t="s">
        <v>906</v>
      </c>
    </row>
    <row r="14" spans="1:7" ht="14.25">
      <c r="A14" s="104" t="s">
        <v>99</v>
      </c>
      <c r="B14" s="111"/>
      <c r="C14" s="6">
        <f>+Ajustes!D83</f>
        <v>1200000000</v>
      </c>
      <c r="D14" s="6"/>
      <c r="E14" s="6"/>
      <c r="F14" s="6">
        <f t="shared" si="0"/>
        <v>1200000000</v>
      </c>
      <c r="G14" s="16" t="s">
        <v>907</v>
      </c>
    </row>
    <row r="15" spans="1:7" ht="14.25">
      <c r="A15" s="104" t="s">
        <v>30</v>
      </c>
      <c r="B15" s="111">
        <f>+PPYE!C15-PPYE!D15</f>
        <v>3114653041.6</v>
      </c>
      <c r="C15" s="6">
        <f>+Ajustes!D77-Ajustes!E82+Ajustes!D102</f>
        <v>4300250000</v>
      </c>
      <c r="D15" s="6"/>
      <c r="E15" s="6">
        <f>+Ajustes!D88+Ajustes!D117</f>
        <v>275974664.02770513</v>
      </c>
      <c r="F15" s="6">
        <f t="shared" si="0"/>
        <v>7690877705.627706</v>
      </c>
      <c r="G15" s="33" t="s">
        <v>908</v>
      </c>
    </row>
    <row r="16" spans="1:6" ht="14.25">
      <c r="A16" s="104" t="s">
        <v>22</v>
      </c>
      <c r="B16" s="111">
        <f>+'Otros activos'!C9</f>
        <v>42212000</v>
      </c>
      <c r="C16" s="6">
        <f>-Ajustes!E94</f>
        <v>-42212000</v>
      </c>
      <c r="D16" s="6"/>
      <c r="E16" s="6"/>
      <c r="F16" s="6">
        <f t="shared" si="0"/>
        <v>0</v>
      </c>
    </row>
    <row r="17" spans="1:7" ht="14.25">
      <c r="A17" s="104" t="s">
        <v>23</v>
      </c>
      <c r="B17" s="111">
        <f>+'Otros activos'!C22</f>
        <v>1579982000</v>
      </c>
      <c r="C17" s="6">
        <f>-Ajustes!E100</f>
        <v>-778706000</v>
      </c>
      <c r="D17" s="6"/>
      <c r="E17" s="6">
        <f>-Ajustes!E107</f>
        <v>-801276000</v>
      </c>
      <c r="F17" s="6">
        <f t="shared" si="0"/>
        <v>0</v>
      </c>
      <c r="G17" s="16" t="s">
        <v>909</v>
      </c>
    </row>
    <row r="18" spans="1:6" ht="14.25">
      <c r="A18" s="104" t="s">
        <v>25</v>
      </c>
      <c r="B18" s="111">
        <f>+'Otros activos'!C42</f>
        <v>26000000</v>
      </c>
      <c r="C18" s="6">
        <f>+Ajustes!D101</f>
        <v>200456000</v>
      </c>
      <c r="D18" s="6"/>
      <c r="E18" s="6">
        <f>-Ajustes!E112</f>
        <v>-26000000</v>
      </c>
      <c r="F18" s="6">
        <f t="shared" si="0"/>
        <v>200456000</v>
      </c>
    </row>
    <row r="19" spans="1:6" ht="14.25">
      <c r="A19" s="104" t="s">
        <v>275</v>
      </c>
      <c r="B19" s="111">
        <v>0</v>
      </c>
      <c r="C19" s="6"/>
      <c r="D19" s="6"/>
      <c r="E19" s="6"/>
      <c r="F19" s="6">
        <f t="shared" si="0"/>
        <v>0</v>
      </c>
    </row>
    <row r="20" spans="1:6" ht="14.25">
      <c r="A20" s="104" t="s">
        <v>101</v>
      </c>
      <c r="B20" s="111"/>
      <c r="C20" s="6"/>
      <c r="D20" s="6"/>
      <c r="E20" s="6"/>
      <c r="F20" s="6">
        <f t="shared" si="0"/>
        <v>0</v>
      </c>
    </row>
    <row r="21" spans="1:6" ht="14.25">
      <c r="A21" s="42" t="s">
        <v>27</v>
      </c>
      <c r="B21" s="111">
        <f>+PPYE!E15+Inversiones!C25</f>
        <v>5289871526</v>
      </c>
      <c r="C21" s="6">
        <f>-Ajustes!E9-Ajustes!E76</f>
        <v>-5289871526</v>
      </c>
      <c r="D21" s="6"/>
      <c r="E21" s="6"/>
      <c r="F21" s="6">
        <f t="shared" si="0"/>
        <v>0</v>
      </c>
    </row>
    <row r="22" spans="1:6" ht="15">
      <c r="A22" s="86" t="s">
        <v>92</v>
      </c>
      <c r="B22" s="113">
        <f>SUM(B6:B21)</f>
        <v>15514401081.6</v>
      </c>
      <c r="C22" s="76">
        <f>SUM(C6:C21)</f>
        <v>0</v>
      </c>
      <c r="D22" s="76">
        <f>SUM(D6:D21)</f>
        <v>0</v>
      </c>
      <c r="E22" s="76">
        <f>SUM(E6:E21)</f>
        <v>-686171107.2343078</v>
      </c>
      <c r="F22" s="76">
        <f>SUM(F6:F21)</f>
        <v>14828229974.365692</v>
      </c>
    </row>
    <row r="23" ht="15">
      <c r="B23" s="24"/>
    </row>
    <row r="24" spans="1:6" ht="15">
      <c r="A24" s="69" t="s">
        <v>32</v>
      </c>
      <c r="B24" s="87"/>
      <c r="C24" s="88"/>
      <c r="D24" s="68"/>
      <c r="E24" s="87"/>
      <c r="F24" s="88"/>
    </row>
    <row r="25" spans="1:7" ht="14.25">
      <c r="A25" s="104" t="s">
        <v>34</v>
      </c>
      <c r="B25" s="6">
        <f>+Pasivos!C21-B26-B27</f>
        <v>302523000</v>
      </c>
      <c r="C25" s="6"/>
      <c r="D25" s="6"/>
      <c r="E25" s="6">
        <f>+Ajustes!E151</f>
        <v>22500000</v>
      </c>
      <c r="F25" s="125">
        <f aca="true" t="shared" si="1" ref="F25:F36">+B25+C25+D25+E25</f>
        <v>325023000</v>
      </c>
      <c r="G25" s="16" t="s">
        <v>321</v>
      </c>
    </row>
    <row r="26" spans="1:7" ht="14.25">
      <c r="A26" s="104" t="s">
        <v>86</v>
      </c>
      <c r="B26" s="6">
        <f>+Pasivos!C22</f>
        <v>652000000</v>
      </c>
      <c r="C26" s="6"/>
      <c r="D26" s="6"/>
      <c r="E26" s="6"/>
      <c r="F26" s="125">
        <f t="shared" si="1"/>
        <v>652000000</v>
      </c>
      <c r="G26" s="16" t="s">
        <v>321</v>
      </c>
    </row>
    <row r="27" spans="1:7" ht="14.25">
      <c r="A27" s="104" t="s">
        <v>152</v>
      </c>
      <c r="B27" s="6">
        <f>+Pasivos!C28+Pasivos!C27</f>
        <v>252123000</v>
      </c>
      <c r="C27" s="6">
        <f>-Ajustes!D130</f>
        <v>-125600000</v>
      </c>
      <c r="D27" s="6"/>
      <c r="E27" s="6"/>
      <c r="F27" s="125">
        <f t="shared" si="1"/>
        <v>126523000</v>
      </c>
      <c r="G27" s="16" t="s">
        <v>321</v>
      </c>
    </row>
    <row r="28" spans="1:7" ht="14.25">
      <c r="A28" s="104" t="s">
        <v>105</v>
      </c>
      <c r="B28" s="6">
        <f>+Pasivos!C35</f>
        <v>47813302.777777776</v>
      </c>
      <c r="C28" s="6"/>
      <c r="D28" s="6"/>
      <c r="E28" s="6">
        <f>+Ajustes!E136</f>
        <v>35936721.03408055</v>
      </c>
      <c r="F28" s="125">
        <f t="shared" si="1"/>
        <v>83750023.81185833</v>
      </c>
      <c r="G28" s="16" t="s">
        <v>321</v>
      </c>
    </row>
    <row r="29" spans="1:7" ht="28.5">
      <c r="A29" s="104" t="s">
        <v>821</v>
      </c>
      <c r="B29" s="6"/>
      <c r="C29" s="6"/>
      <c r="D29" s="6"/>
      <c r="E29" s="6">
        <f>+Ajustes!E118</f>
        <v>141186794.916614</v>
      </c>
      <c r="F29" s="6">
        <f>+B29+C29+D29+E29</f>
        <v>141186794.916614</v>
      </c>
      <c r="G29" s="16" t="s">
        <v>910</v>
      </c>
    </row>
    <row r="30" spans="1:7" ht="14.25">
      <c r="A30" s="104" t="s">
        <v>33</v>
      </c>
      <c r="B30" s="6">
        <f>+Pasivos!C10</f>
        <v>2044654975.1177564</v>
      </c>
      <c r="C30" s="6"/>
      <c r="D30" s="6"/>
      <c r="E30" s="6">
        <f>-Ajustes!D125</f>
        <v>-44763884.72125435</v>
      </c>
      <c r="F30" s="6">
        <f t="shared" si="1"/>
        <v>1999891090.396502</v>
      </c>
      <c r="G30" s="16" t="s">
        <v>911</v>
      </c>
    </row>
    <row r="31" spans="1:6" ht="28.5">
      <c r="A31" s="104" t="s">
        <v>689</v>
      </c>
      <c r="B31" s="6"/>
      <c r="C31" s="6"/>
      <c r="D31" s="6"/>
      <c r="E31" s="6">
        <f>+Ajustes!E149</f>
        <v>750000000</v>
      </c>
      <c r="F31" s="6">
        <f t="shared" si="1"/>
        <v>750000000</v>
      </c>
    </row>
    <row r="32" spans="1:6" ht="14.25">
      <c r="A32" s="104" t="s">
        <v>134</v>
      </c>
      <c r="B32" s="6"/>
      <c r="C32" s="6">
        <f>+Ajustes!E131</f>
        <v>125600000</v>
      </c>
      <c r="D32" s="6"/>
      <c r="E32" s="6"/>
      <c r="F32" s="6">
        <f t="shared" si="1"/>
        <v>125600000</v>
      </c>
    </row>
    <row r="33" spans="1:7" ht="14.25">
      <c r="A33" s="104" t="s">
        <v>642</v>
      </c>
      <c r="B33" s="6"/>
      <c r="C33" s="6"/>
      <c r="D33" s="6"/>
      <c r="E33" s="6">
        <f>+Ajustes!E39</f>
        <v>22000000</v>
      </c>
      <c r="F33" s="6">
        <f t="shared" si="1"/>
        <v>22000000</v>
      </c>
      <c r="G33" s="16" t="s">
        <v>912</v>
      </c>
    </row>
    <row r="34" spans="1:6" ht="14.25">
      <c r="A34" s="104" t="s">
        <v>392</v>
      </c>
      <c r="B34" s="6"/>
      <c r="C34" s="6"/>
      <c r="D34" s="6"/>
      <c r="E34" s="6"/>
      <c r="F34" s="6">
        <f t="shared" si="1"/>
        <v>0</v>
      </c>
    </row>
    <row r="35" spans="1:7" ht="14.25">
      <c r="A35" s="104" t="s">
        <v>102</v>
      </c>
      <c r="B35" s="6"/>
      <c r="C35" s="6"/>
      <c r="D35" s="6"/>
      <c r="E35" s="6">
        <f>+Ajustes!E164</f>
        <v>401437873.20271957</v>
      </c>
      <c r="F35" s="6">
        <f t="shared" si="1"/>
        <v>401437873.20271957</v>
      </c>
      <c r="G35" s="16" t="s">
        <v>913</v>
      </c>
    </row>
    <row r="36" spans="1:7" ht="13.5" customHeight="1">
      <c r="A36" s="104" t="s">
        <v>223</v>
      </c>
      <c r="B36" s="6">
        <f>+Pasivos!C51</f>
        <v>556000000</v>
      </c>
      <c r="C36" s="6"/>
      <c r="D36" s="7"/>
      <c r="E36" s="6">
        <f>-Ajustes!D142</f>
        <v>-145967371.4152633</v>
      </c>
      <c r="F36" s="6">
        <f t="shared" si="1"/>
        <v>410032628.5847367</v>
      </c>
      <c r="G36" s="16" t="s">
        <v>914</v>
      </c>
    </row>
    <row r="37" spans="1:6" ht="15">
      <c r="A37" s="69" t="s">
        <v>93</v>
      </c>
      <c r="B37" s="112">
        <f>SUM(B25:B36)</f>
        <v>3855114277.895534</v>
      </c>
      <c r="C37" s="76">
        <f>SUM(C25:C36)</f>
        <v>0</v>
      </c>
      <c r="D37" s="76">
        <f>SUM(D25:D36)</f>
        <v>0</v>
      </c>
      <c r="E37" s="76">
        <f>SUM(E25:E36)</f>
        <v>1182330133.0168967</v>
      </c>
      <c r="F37" s="76">
        <f>SUM(F25:F36)</f>
        <v>5037444410.912431</v>
      </c>
    </row>
    <row r="38" spans="2:6" ht="15">
      <c r="B38" s="27"/>
      <c r="C38" s="27"/>
      <c r="D38" s="27"/>
      <c r="E38" s="27"/>
      <c r="F38" s="27"/>
    </row>
    <row r="39" spans="1:7" ht="15">
      <c r="A39" s="69" t="s">
        <v>36</v>
      </c>
      <c r="B39" s="76">
        <f>SUM(B40:B48)</f>
        <v>11659286803.7</v>
      </c>
      <c r="C39" s="76">
        <f>SUM(C40:C48)</f>
        <v>0</v>
      </c>
      <c r="D39" s="76">
        <f>SUM(D40:D48)</f>
        <v>0</v>
      </c>
      <c r="E39" s="76">
        <f>SUM(E40:E48)</f>
        <v>-1868501240.2512043</v>
      </c>
      <c r="F39" s="76">
        <f>SUM(F40:F48)</f>
        <v>9790785563.448795</v>
      </c>
      <c r="G39" s="146">
        <f>+E39/B39</f>
        <v>-0.160258622307691</v>
      </c>
    </row>
    <row r="40" spans="1:7" ht="14.25">
      <c r="A40" s="104" t="s">
        <v>63</v>
      </c>
      <c r="B40" s="6">
        <v>3250000000</v>
      </c>
      <c r="C40" s="6"/>
      <c r="D40" s="6"/>
      <c r="E40" s="6">
        <f>-Ajustes!D148</f>
        <v>-750000000</v>
      </c>
      <c r="F40" s="6">
        <f aca="true" t="shared" si="2" ref="F40:F47">+B40+C40+D40+E40</f>
        <v>2500000000</v>
      </c>
      <c r="G40" s="16" t="s">
        <v>0</v>
      </c>
    </row>
    <row r="41" spans="1:7" ht="14.25">
      <c r="A41" s="104" t="s">
        <v>24</v>
      </c>
      <c r="B41" s="6">
        <v>650256000</v>
      </c>
      <c r="C41" s="6">
        <f>-Ajustes!D157</f>
        <v>-650256000</v>
      </c>
      <c r="D41" s="6"/>
      <c r="E41" s="6"/>
      <c r="F41" s="6">
        <f t="shared" si="2"/>
        <v>0</v>
      </c>
      <c r="G41" s="16" t="s">
        <v>0</v>
      </c>
    </row>
    <row r="42" spans="1:7" ht="14.25">
      <c r="A42" s="104" t="s">
        <v>26</v>
      </c>
      <c r="B42" s="6">
        <v>845589107</v>
      </c>
      <c r="C42" s="6"/>
      <c r="D42" s="6"/>
      <c r="E42" s="6"/>
      <c r="F42" s="6">
        <f t="shared" si="2"/>
        <v>845589107</v>
      </c>
      <c r="G42" s="16" t="s">
        <v>0</v>
      </c>
    </row>
    <row r="43" spans="1:11" ht="28.5">
      <c r="A43" s="104" t="s">
        <v>121</v>
      </c>
      <c r="B43" s="6">
        <f>+B21</f>
        <v>5289871526</v>
      </c>
      <c r="C43" s="40">
        <f>-Ajustes!D12-Ajustes!D79</f>
        <v>-5289871526</v>
      </c>
      <c r="D43" s="6"/>
      <c r="E43" s="6"/>
      <c r="F43" s="6">
        <f t="shared" si="2"/>
        <v>0</v>
      </c>
      <c r="H43" s="16" t="s">
        <v>594</v>
      </c>
      <c r="J43" s="49">
        <f>+B37/B22</f>
        <v>0.24848618116929308</v>
      </c>
      <c r="K43" s="16" t="s">
        <v>699</v>
      </c>
    </row>
    <row r="44" spans="1:11" ht="42.75">
      <c r="A44" s="104" t="s">
        <v>632</v>
      </c>
      <c r="B44" s="6"/>
      <c r="C44" s="40">
        <f>+Ajustes!E14</f>
        <v>164000000</v>
      </c>
      <c r="D44" s="6"/>
      <c r="E44" s="6"/>
      <c r="F44" s="6">
        <f t="shared" si="2"/>
        <v>164000000</v>
      </c>
      <c r="J44" s="142">
        <f>+F37/F22</f>
        <v>0.3397198734859733</v>
      </c>
      <c r="K44" s="16" t="s">
        <v>146</v>
      </c>
    </row>
    <row r="45" spans="1:6" ht="28.5">
      <c r="A45" s="104" t="s">
        <v>669</v>
      </c>
      <c r="B45" s="6"/>
      <c r="C45" s="40"/>
      <c r="D45" s="6"/>
      <c r="E45" s="6"/>
      <c r="F45" s="6">
        <f t="shared" si="2"/>
        <v>0</v>
      </c>
    </row>
    <row r="46" spans="1:8" ht="28.5">
      <c r="A46" s="104" t="s">
        <v>28</v>
      </c>
      <c r="B46" s="89">
        <v>1470970170.7</v>
      </c>
      <c r="C46" s="89">
        <f>+Ajustes!E13+Ajustes!E80+Ajustes!E159</f>
        <v>5928727526</v>
      </c>
      <c r="D46" s="89"/>
      <c r="E46" s="89">
        <f>-Ajustes!D21-Ajustes!D40-Ajustes!D52+Ajustes!E57-Ajustes!D63+Ajustes!E71+Ajustes!E89-Ajustes!D108-Ajustes!D113-Ajustes!D119+Ajustes!E126-Ajustes!D137+Ajustes!E143-Ajustes!D152-Ajustes!D165</f>
        <v>-1118501240.2512043</v>
      </c>
      <c r="F46" s="89">
        <f>+B46+C46+D46+E46</f>
        <v>6281196456.448795</v>
      </c>
      <c r="G46" s="193">
        <f>+E46/B39</f>
        <v>-0.09593221773189892</v>
      </c>
      <c r="H46" s="16" t="s">
        <v>697</v>
      </c>
    </row>
    <row r="47" spans="1:8" ht="14.25">
      <c r="A47" s="104" t="s">
        <v>91</v>
      </c>
      <c r="B47" s="6">
        <v>152600000</v>
      </c>
      <c r="C47" s="6">
        <f>-Ajustes!D158</f>
        <v>-152600000</v>
      </c>
      <c r="D47" s="6"/>
      <c r="E47" s="6"/>
      <c r="F47" s="6">
        <f t="shared" si="2"/>
        <v>0</v>
      </c>
      <c r="G47" s="193">
        <f>+E46/B46</f>
        <v>-0.7603833595884109</v>
      </c>
      <c r="H47" s="16" t="s">
        <v>698</v>
      </c>
    </row>
    <row r="48" spans="2:3" ht="15">
      <c r="B48" s="24"/>
      <c r="C48" s="41"/>
    </row>
    <row r="49" spans="1:6" ht="15">
      <c r="A49" s="69" t="s">
        <v>94</v>
      </c>
      <c r="B49" s="76">
        <f>+B37+B39</f>
        <v>15514401081.595535</v>
      </c>
      <c r="C49" s="76">
        <f>+C37+C39</f>
        <v>0</v>
      </c>
      <c r="D49" s="76">
        <f>+D37+D39</f>
        <v>0</v>
      </c>
      <c r="E49" s="76">
        <f>+E37+E39</f>
        <v>-686171107.2343075</v>
      </c>
      <c r="F49" s="76">
        <f>+F37+F39</f>
        <v>14828229974.361225</v>
      </c>
    </row>
    <row r="51" spans="2:6" ht="14.25">
      <c r="B51" s="109">
        <f>+B49-B22</f>
        <v>-0.0044651031494140625</v>
      </c>
      <c r="C51" s="26">
        <f>+C49-C22</f>
        <v>0</v>
      </c>
      <c r="D51" s="26">
        <f>+D49-D22</f>
        <v>0</v>
      </c>
      <c r="E51" s="26">
        <f>+E49-E22</f>
        <v>0</v>
      </c>
      <c r="F51" s="26">
        <f>+F49-F22</f>
        <v>-0.004467010498046875</v>
      </c>
    </row>
    <row r="58" ht="20.25">
      <c r="C58" s="121" t="s">
        <v>243</v>
      </c>
    </row>
    <row r="60" ht="15">
      <c r="C60" s="16" t="s">
        <v>244</v>
      </c>
    </row>
    <row r="64" spans="2:4" ht="15">
      <c r="B64" s="26" t="s">
        <v>671</v>
      </c>
      <c r="D64" s="17"/>
    </row>
    <row r="65" ht="15">
      <c r="D65" s="17"/>
    </row>
    <row r="66" spans="3:4" ht="15">
      <c r="C66" s="16" t="s">
        <v>672</v>
      </c>
      <c r="D66" s="17">
        <v>32000</v>
      </c>
    </row>
    <row r="67" ht="15">
      <c r="D67" s="17"/>
    </row>
    <row r="68" spans="3:4" ht="15">
      <c r="C68" s="16" t="s">
        <v>673</v>
      </c>
      <c r="D68" s="17"/>
    </row>
    <row r="69" ht="15">
      <c r="D69" s="17"/>
    </row>
    <row r="70" spans="3:5" ht="15">
      <c r="C70" s="16" t="s">
        <v>674</v>
      </c>
      <c r="D70" s="17">
        <v>5000</v>
      </c>
      <c r="E70" s="17" t="s">
        <v>335</v>
      </c>
    </row>
    <row r="71" spans="3:5" ht="15">
      <c r="C71" s="16" t="s">
        <v>675</v>
      </c>
      <c r="D71" s="17">
        <v>3000</v>
      </c>
      <c r="E71" s="17" t="s">
        <v>677</v>
      </c>
    </row>
    <row r="72" spans="3:5" ht="15">
      <c r="C72" s="16" t="s">
        <v>676</v>
      </c>
      <c r="D72" s="17">
        <v>12000</v>
      </c>
      <c r="E72" s="17" t="s">
        <v>677</v>
      </c>
    </row>
    <row r="73" ht="15">
      <c r="D73" s="46">
        <f>SUM(D70:D72)</f>
        <v>20000</v>
      </c>
    </row>
    <row r="74" spans="3:5" ht="15">
      <c r="C74" s="16" t="s">
        <v>338</v>
      </c>
      <c r="D74" s="17">
        <f>+D66-D73</f>
        <v>12000</v>
      </c>
      <c r="E74" s="17" t="s">
        <v>677</v>
      </c>
    </row>
    <row r="75" ht="15">
      <c r="D75" s="17"/>
    </row>
    <row r="76" ht="15">
      <c r="D76" s="17"/>
    </row>
    <row r="77" ht="15">
      <c r="D77" s="17"/>
    </row>
    <row r="78" ht="15">
      <c r="D78" s="17"/>
    </row>
    <row r="79" ht="15">
      <c r="D79" s="17"/>
    </row>
    <row r="80" ht="15">
      <c r="D80" s="17"/>
    </row>
  </sheetData>
  <sheetProtection/>
  <hyperlinks>
    <hyperlink ref="E2" r:id="rId1" display="leovarong@yahoo.com"/>
    <hyperlink ref="A6" location="Efectivo!A1" display="Efectivo y equivalentes"/>
    <hyperlink ref="A7" location="Deudores!A1" display="Deudores  y cuentas por cobrar"/>
    <hyperlink ref="A10" location="Inversiones!A1" display="Inversiones"/>
    <hyperlink ref="A9" location="Inventarios!A1" display="Inventarios "/>
    <hyperlink ref="A13" location="Inventarios!A1" display="Activos biológicos"/>
    <hyperlink ref="A8" location="Deudores!A1" display="Activos por impuestos corrientes"/>
    <hyperlink ref="A14" location="PPYE!A1" display="Propiedades de inversión"/>
    <hyperlink ref="A15" location="PPYE!A1" display="Propiedad, planta y equipo"/>
    <hyperlink ref="A16" location="'Otros activos'!A1" display="Gastos pagados por anticipado"/>
    <hyperlink ref="A17" location="'Otros activos'!A1" display="Cargos Diferidos"/>
    <hyperlink ref="A18" location="'Otros activos'!A1" display="Intangibles"/>
    <hyperlink ref="A25" location="Pasivos!A1" display="Cuentas por pagar"/>
    <hyperlink ref="A26" location="Pasivos!A1" display="Proveedores"/>
    <hyperlink ref="A27" location="Pasivos!A1" display="Impuestos por pagar"/>
    <hyperlink ref="A28" location="Pasivos!A1" display="Beneficios a los empleados"/>
    <hyperlink ref="A30" location="Pasivos!A1" display="Obligaciones financieras"/>
    <hyperlink ref="A32" location="Pasivos!A1" display="Pasivo por impuestos corrientes"/>
    <hyperlink ref="A36" location="Pasivos!A1" display="Pasivos por provisiones"/>
    <hyperlink ref="A40" location="Patrimonio!A1" display="Capital suscrito y pagado"/>
    <hyperlink ref="A41" location="Patrimonio!A1" display="Reservas"/>
    <hyperlink ref="A42" location="Patrimonio!A1" display="Utilidad  del ejercicio"/>
    <hyperlink ref="A43" location="Patrimonio!A1" display="Superávit por Valorización de activos"/>
    <hyperlink ref="A47" location="Patrimonio!A1" display="Revalorización patrimonio"/>
    <hyperlink ref="A35" location="'Imp diferidos'!A1" display="Pasivos x impuestos diferidos"/>
    <hyperlink ref="A20" location="'Imp diferidos'!A1" display="Activo x impuestos diferidos"/>
    <hyperlink ref="C58" r:id="rId2" display="www.consultorcontable.com"/>
    <hyperlink ref="A46" location="Patrimonio!A1" display="Resultados de ejercicios anteriores"/>
  </hyperlinks>
  <printOptions/>
  <pageMargins left="0.3937007874015748" right="0.3937007874015748" top="0.3937007874015748" bottom="0.3937007874015748" header="0" footer="0"/>
  <pageSetup fitToHeight="1" fitToWidth="1" horizontalDpi="120" verticalDpi="120" orientation="landscape" scale="6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showGridLines="0" zoomScale="110" zoomScaleNormal="11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11.421875" defaultRowHeight="12.75"/>
  <cols>
    <col min="1" max="1" width="11.421875" style="226" customWidth="1"/>
    <col min="2" max="2" width="37.57421875" style="226" customWidth="1"/>
    <col min="3" max="3" width="21.57421875" style="254" customWidth="1"/>
    <col min="4" max="5" width="21.57421875" style="226" customWidth="1"/>
    <col min="6" max="6" width="21.57421875" style="238" customWidth="1"/>
    <col min="7" max="7" width="21.57421875" style="226" customWidth="1"/>
    <col min="8" max="8" width="15.7109375" style="226" bestFit="1" customWidth="1"/>
    <col min="9" max="9" width="18.28125" style="226" bestFit="1" customWidth="1"/>
    <col min="10" max="16384" width="11.421875" style="226" customWidth="1"/>
  </cols>
  <sheetData>
    <row r="1" spans="2:6" s="219" customFormat="1" ht="62.25" customHeight="1">
      <c r="B1" s="217" t="s">
        <v>170</v>
      </c>
      <c r="C1" s="218" t="s">
        <v>171</v>
      </c>
      <c r="D1" s="218"/>
      <c r="E1" s="218" t="s">
        <v>217</v>
      </c>
      <c r="F1" s="218"/>
    </row>
    <row r="2" spans="2:6" s="222" customFormat="1" ht="15">
      <c r="B2" s="220" t="s">
        <v>62</v>
      </c>
      <c r="C2" s="221"/>
      <c r="E2" s="221" t="s">
        <v>172</v>
      </c>
      <c r="F2" s="102" t="s">
        <v>130</v>
      </c>
    </row>
    <row r="3" spans="2:6" s="222" customFormat="1" ht="15">
      <c r="B3" s="220" t="s">
        <v>97</v>
      </c>
      <c r="C3" s="221"/>
      <c r="D3" s="221"/>
      <c r="E3" s="221"/>
      <c r="F3" s="223"/>
    </row>
    <row r="4" spans="1:6" ht="15">
      <c r="A4" s="224" t="s">
        <v>147</v>
      </c>
      <c r="B4" s="224" t="s">
        <v>730</v>
      </c>
      <c r="C4" s="225" t="s">
        <v>700</v>
      </c>
      <c r="D4" s="225" t="s">
        <v>630</v>
      </c>
      <c r="E4" s="225" t="s">
        <v>631</v>
      </c>
      <c r="F4" s="225" t="s">
        <v>701</v>
      </c>
    </row>
    <row r="5" spans="3:8" ht="15">
      <c r="C5" s="227"/>
      <c r="D5" s="228"/>
      <c r="E5" s="228"/>
      <c r="F5" s="228"/>
      <c r="H5" s="229"/>
    </row>
    <row r="6" spans="1:8" ht="14.25">
      <c r="A6" s="255">
        <v>111005</v>
      </c>
      <c r="B6" s="104" t="s">
        <v>168</v>
      </c>
      <c r="C6" s="230">
        <f>+Efectivo!E7</f>
        <v>15265000</v>
      </c>
      <c r="D6" s="231">
        <f>+'[1]Inversiones'!C99+'[1]Deudores'!E40+'[1]Deudores'!E41+'[1]Deudores'!E39+'[1]Deudores'!D23-'[1]Deudores'!E23+'[1]Deudores'!L72+'[1]Deudores'!D24+'[1]Deudores'!L19*12+'[1]Deudores'!D96-'[1]Deudores'!E96+'[1]Inventarios'!D79+18750000+4000000</f>
        <v>20411040929</v>
      </c>
      <c r="E6" s="231">
        <f>+'[1]Inventarios'!E38+'[1]Inventarios'!E43+'[1]Inventarios'!E85+'[1]Otros activos'!D9+'[1]Pasivos'!K13+'[1]Leasing'!F184+'[1]Leasing'!F54+254000000+6150000000+74896300+143000000+115000000</f>
        <v>20512537656.061573</v>
      </c>
      <c r="F6" s="231">
        <f aca="true" t="shared" si="0" ref="F6:F12">+C6+D6-E6</f>
        <v>-86231727.06157303</v>
      </c>
      <c r="G6" s="232" t="s">
        <v>0</v>
      </c>
      <c r="H6" s="233"/>
    </row>
    <row r="7" spans="1:8" ht="14.25">
      <c r="A7" s="255"/>
      <c r="B7" s="104" t="s">
        <v>322</v>
      </c>
      <c r="C7" s="230">
        <f>+Efectivo!E8</f>
        <v>0</v>
      </c>
      <c r="D7" s="231">
        <v>115000000</v>
      </c>
      <c r="E7" s="231">
        <v>1000000</v>
      </c>
      <c r="F7" s="231">
        <f t="shared" si="0"/>
        <v>114000000</v>
      </c>
      <c r="G7" s="232"/>
      <c r="H7" s="233"/>
    </row>
    <row r="8" spans="1:8" ht="14.25">
      <c r="A8" s="255">
        <v>111005</v>
      </c>
      <c r="B8" s="104" t="s">
        <v>169</v>
      </c>
      <c r="C8" s="230">
        <f>+Efectivo!E9</f>
        <v>112563000</v>
      </c>
      <c r="D8" s="231">
        <f>+'[1]Deudores'!E56+'[1]Deudores'!E39</f>
        <v>6583870683.5796795</v>
      </c>
      <c r="E8" s="231">
        <f>+'[1]Deudores'!E39+'[1]Deudores'!D23-'[1]Deudores'!E23+'[1]Deudores'!L72+'[1]Deudores'!D24+'[1]Deudores'!L19*12</f>
        <v>6973564929</v>
      </c>
      <c r="F8" s="231">
        <f t="shared" si="0"/>
        <v>-277131245.4203205</v>
      </c>
      <c r="G8" s="232" t="s">
        <v>0</v>
      </c>
      <c r="H8" s="233"/>
    </row>
    <row r="9" spans="1:8" ht="14.25">
      <c r="A9" s="255">
        <v>111510</v>
      </c>
      <c r="B9" s="104" t="s">
        <v>540</v>
      </c>
      <c r="C9" s="230">
        <f>+Efectivo!E10</f>
        <v>62300000</v>
      </c>
      <c r="D9" s="231"/>
      <c r="E9" s="231"/>
      <c r="F9" s="231">
        <f t="shared" si="0"/>
        <v>62300000</v>
      </c>
      <c r="G9" s="232"/>
      <c r="H9" s="233"/>
    </row>
    <row r="10" spans="1:8" ht="14.25">
      <c r="A10" s="255"/>
      <c r="B10" s="104" t="s">
        <v>538</v>
      </c>
      <c r="C10" s="230">
        <v>385623526</v>
      </c>
      <c r="D10" s="231">
        <f>+'[1]Deudores'!E96</f>
        <v>135000000</v>
      </c>
      <c r="E10" s="231">
        <f>+'[1]Deudores'!D96</f>
        <v>127526000</v>
      </c>
      <c r="F10" s="231">
        <f t="shared" si="0"/>
        <v>393097526</v>
      </c>
      <c r="G10" s="232"/>
      <c r="H10" s="233"/>
    </row>
    <row r="11" spans="1:8" ht="14.25">
      <c r="A11" s="255"/>
      <c r="B11" s="104" t="s">
        <v>539</v>
      </c>
      <c r="C11" s="230">
        <v>2320000000</v>
      </c>
      <c r="D11" s="231">
        <f>++'[1]Deudores'!D129</f>
        <v>3532079.3766739643</v>
      </c>
      <c r="E11" s="231">
        <f>+'[1]Deudores'!C115</f>
        <v>18750000</v>
      </c>
      <c r="F11" s="231">
        <f t="shared" si="0"/>
        <v>2304782079.376674</v>
      </c>
      <c r="G11" s="232"/>
      <c r="H11" s="233"/>
    </row>
    <row r="12" spans="1:8" ht="14.25">
      <c r="A12" s="255"/>
      <c r="B12" s="104" t="s">
        <v>273</v>
      </c>
      <c r="C12" s="230">
        <v>1950000000</v>
      </c>
      <c r="D12" s="231">
        <f>+'[1]Otros activos'!D9</f>
        <v>196000000</v>
      </c>
      <c r="E12" s="231">
        <f>+'[1]Otros activos'!D16+'[1]Otros activos'!D17+'[1]Otros activos'!D18+'[1]Otros activos'!D19</f>
        <v>217500000</v>
      </c>
      <c r="F12" s="231">
        <f t="shared" si="0"/>
        <v>1928500000</v>
      </c>
      <c r="G12" s="232"/>
      <c r="H12" s="233"/>
    </row>
    <row r="13" spans="1:8" ht="14.25">
      <c r="A13" s="255">
        <v>1305</v>
      </c>
      <c r="B13" s="104" t="s">
        <v>288</v>
      </c>
      <c r="C13" s="230">
        <v>245460215</v>
      </c>
      <c r="E13" s="231">
        <v>54000000</v>
      </c>
      <c r="F13" s="231">
        <f>+C13+D16-E13</f>
        <v>191460215</v>
      </c>
      <c r="G13" s="232"/>
      <c r="H13" s="233"/>
    </row>
    <row r="14" spans="1:6" ht="14.25">
      <c r="A14" s="255">
        <v>1330</v>
      </c>
      <c r="B14" s="104" t="s">
        <v>7</v>
      </c>
      <c r="C14" s="230">
        <v>147500000</v>
      </c>
      <c r="D14" s="231"/>
      <c r="E14" s="231"/>
      <c r="F14" s="231">
        <f>+C14+D14-E14</f>
        <v>147500000</v>
      </c>
    </row>
    <row r="15" spans="1:8" ht="14.25">
      <c r="A15" s="255">
        <v>1355</v>
      </c>
      <c r="B15" s="104" t="s">
        <v>70</v>
      </c>
      <c r="C15" s="230">
        <v>23526000</v>
      </c>
      <c r="D15" s="231">
        <f>+'[1]Inventarios'!D37+'[1]Inventarios'!D40+'[1]Inventarios'!D41+'[1]Inventarios'!D42</f>
        <v>12273577060</v>
      </c>
      <c r="E15" s="231">
        <f>+'[1]Deudores'!E46</f>
        <v>8628300000</v>
      </c>
      <c r="F15" s="231">
        <f>+C15+D15-E15</f>
        <v>3668803060</v>
      </c>
      <c r="H15" s="234"/>
    </row>
    <row r="16" spans="1:6" ht="28.5">
      <c r="A16" s="255">
        <v>1365</v>
      </c>
      <c r="B16" s="104" t="s">
        <v>128</v>
      </c>
      <c r="C16" s="230">
        <v>21685331.662620433</v>
      </c>
      <c r="D16" s="231">
        <v>0</v>
      </c>
      <c r="E16" s="231"/>
      <c r="F16" s="231">
        <f>+C16+D16-E16</f>
        <v>21685331.662620433</v>
      </c>
    </row>
    <row r="17" spans="1:6" ht="14.25">
      <c r="A17" s="255">
        <v>1399</v>
      </c>
      <c r="B17" s="104" t="s">
        <v>139</v>
      </c>
      <c r="C17" s="230">
        <v>-92185933.5</v>
      </c>
      <c r="D17" s="231"/>
      <c r="E17" s="231"/>
      <c r="F17" s="231"/>
    </row>
    <row r="18" spans="1:6" ht="14.25">
      <c r="A18" s="255"/>
      <c r="B18" s="104" t="s">
        <v>98</v>
      </c>
      <c r="C18" s="230">
        <f>+Deudores!C48</f>
        <v>12562000</v>
      </c>
      <c r="D18" s="231"/>
      <c r="E18" s="231"/>
      <c r="F18" s="231"/>
    </row>
    <row r="19" spans="1:6" ht="14.25">
      <c r="A19" s="255">
        <v>1405</v>
      </c>
      <c r="B19" s="104" t="s">
        <v>110</v>
      </c>
      <c r="C19" s="230">
        <v>78289828</v>
      </c>
      <c r="D19" s="231"/>
      <c r="E19" s="231"/>
      <c r="F19" s="231"/>
    </row>
    <row r="20" spans="1:6" ht="14.25">
      <c r="A20" s="255">
        <v>143005</v>
      </c>
      <c r="B20" s="104" t="s">
        <v>111</v>
      </c>
      <c r="C20" s="230">
        <v>246438000</v>
      </c>
      <c r="D20" s="231"/>
      <c r="E20" s="231"/>
      <c r="F20" s="231"/>
    </row>
    <row r="21" spans="1:6" ht="14.25">
      <c r="A21" s="255">
        <v>1445</v>
      </c>
      <c r="B21" s="104" t="s">
        <v>554</v>
      </c>
      <c r="C21" s="230">
        <v>185444000</v>
      </c>
      <c r="D21" s="231"/>
      <c r="E21" s="231"/>
      <c r="F21" s="231"/>
    </row>
    <row r="22" spans="1:6" ht="14.25">
      <c r="A22" s="255">
        <v>1499</v>
      </c>
      <c r="B22" s="104" t="s">
        <v>40</v>
      </c>
      <c r="C22" s="230">
        <v>-9952000</v>
      </c>
      <c r="D22" s="231"/>
      <c r="E22" s="231"/>
      <c r="F22" s="231"/>
    </row>
    <row r="23" spans="1:6" ht="14.25">
      <c r="A23" s="255">
        <v>150405</v>
      </c>
      <c r="B23" s="104" t="s">
        <v>567</v>
      </c>
      <c r="C23" s="230">
        <v>1850000000</v>
      </c>
      <c r="D23" s="231"/>
      <c r="E23" s="231"/>
      <c r="F23" s="231"/>
    </row>
    <row r="24" spans="1:6" ht="28.5">
      <c r="A24" s="255">
        <v>150405</v>
      </c>
      <c r="B24" s="104" t="s">
        <v>235</v>
      </c>
      <c r="C24" s="230">
        <v>1200000000</v>
      </c>
      <c r="D24" s="231"/>
      <c r="E24" s="231"/>
      <c r="F24" s="231"/>
    </row>
    <row r="25" spans="1:6" ht="14.25">
      <c r="A25" s="255">
        <v>150405</v>
      </c>
      <c r="B25" s="104" t="s">
        <v>568</v>
      </c>
      <c r="C25" s="230">
        <v>800000000</v>
      </c>
      <c r="D25" s="231"/>
      <c r="E25" s="231"/>
      <c r="F25" s="231"/>
    </row>
    <row r="26" spans="1:6" ht="14.25">
      <c r="A26" s="255">
        <v>151605</v>
      </c>
      <c r="B26" s="104" t="s">
        <v>236</v>
      </c>
      <c r="C26" s="230">
        <v>3552000000</v>
      </c>
      <c r="D26" s="231"/>
      <c r="E26" s="231"/>
      <c r="F26" s="231"/>
    </row>
    <row r="27" spans="1:6" ht="14.25">
      <c r="A27" s="255">
        <v>1520</v>
      </c>
      <c r="B27" s="104" t="s">
        <v>569</v>
      </c>
      <c r="C27" s="230">
        <v>436363636.3636363</v>
      </c>
      <c r="D27" s="231"/>
      <c r="E27" s="231"/>
      <c r="F27" s="231"/>
    </row>
    <row r="28" spans="1:6" ht="14.25">
      <c r="A28" s="255">
        <v>152405</v>
      </c>
      <c r="B28" s="104" t="s">
        <v>17</v>
      </c>
      <c r="C28" s="230">
        <v>195454545.45454544</v>
      </c>
      <c r="D28" s="231"/>
      <c r="E28" s="231"/>
      <c r="F28" s="231"/>
    </row>
    <row r="29" spans="1:6" ht="14.25">
      <c r="A29" s="255">
        <v>152805</v>
      </c>
      <c r="B29" s="104" t="s">
        <v>18</v>
      </c>
      <c r="C29" s="230">
        <v>0</v>
      </c>
      <c r="D29" s="231"/>
      <c r="E29" s="231"/>
      <c r="F29" s="231"/>
    </row>
    <row r="30" spans="1:6" ht="14.25">
      <c r="A30" s="255">
        <v>154005</v>
      </c>
      <c r="B30" s="104" t="s">
        <v>565</v>
      </c>
      <c r="C30" s="230">
        <v>50000000</v>
      </c>
      <c r="D30" s="231"/>
      <c r="E30" s="231"/>
      <c r="F30" s="231"/>
    </row>
    <row r="31" spans="1:6" ht="28.5">
      <c r="A31" s="255">
        <v>154010</v>
      </c>
      <c r="B31" s="104" t="s">
        <v>566</v>
      </c>
      <c r="C31" s="230">
        <v>102142857.14285713</v>
      </c>
      <c r="D31" s="231"/>
      <c r="E31" s="231"/>
      <c r="F31" s="231"/>
    </row>
    <row r="32" spans="1:6" ht="14.25">
      <c r="A32" s="255"/>
      <c r="B32" s="104" t="s">
        <v>133</v>
      </c>
      <c r="C32" s="230">
        <v>456000000</v>
      </c>
      <c r="D32" s="231"/>
      <c r="E32" s="231"/>
      <c r="F32" s="231"/>
    </row>
    <row r="33" spans="1:6" ht="28.5">
      <c r="A33" s="255"/>
      <c r="B33" s="104" t="s">
        <v>615</v>
      </c>
      <c r="C33" s="230">
        <v>126666666.66666627</v>
      </c>
      <c r="D33" s="231"/>
      <c r="E33" s="231"/>
      <c r="F33" s="231"/>
    </row>
    <row r="34" spans="1:6" ht="14.25">
      <c r="A34" s="255"/>
      <c r="B34" s="104" t="s">
        <v>693</v>
      </c>
      <c r="C34" s="230">
        <v>122250000</v>
      </c>
      <c r="D34" s="231"/>
      <c r="E34" s="231"/>
      <c r="F34" s="231"/>
    </row>
    <row r="35" spans="1:6" ht="28.5">
      <c r="A35" s="255">
        <v>170545</v>
      </c>
      <c r="B35" s="104" t="s">
        <v>292</v>
      </c>
      <c r="C35" s="230">
        <v>13526000</v>
      </c>
      <c r="D35" s="231"/>
      <c r="E35" s="231"/>
      <c r="F35" s="231"/>
    </row>
    <row r="36" spans="1:6" ht="14.25">
      <c r="A36" s="255">
        <v>170535</v>
      </c>
      <c r="B36" s="104" t="s">
        <v>257</v>
      </c>
      <c r="C36" s="230">
        <v>15626000</v>
      </c>
      <c r="D36" s="231"/>
      <c r="E36" s="231"/>
      <c r="F36" s="231"/>
    </row>
    <row r="37" spans="1:6" ht="14.25">
      <c r="A37" s="255">
        <v>170525</v>
      </c>
      <c r="B37" s="104" t="s">
        <v>150</v>
      </c>
      <c r="C37" s="230">
        <v>7560000</v>
      </c>
      <c r="D37" s="231"/>
      <c r="E37" s="231"/>
      <c r="F37" s="231"/>
    </row>
    <row r="38" spans="1:6" ht="28.5">
      <c r="A38" s="255">
        <v>170520</v>
      </c>
      <c r="B38" s="104" t="s">
        <v>138</v>
      </c>
      <c r="C38" s="230">
        <v>5500000</v>
      </c>
      <c r="D38" s="231"/>
      <c r="E38" s="231"/>
      <c r="F38" s="231"/>
    </row>
    <row r="39" spans="1:6" ht="14.25">
      <c r="A39" s="255"/>
      <c r="B39" s="104" t="s">
        <v>284</v>
      </c>
      <c r="C39" s="230">
        <v>125000000</v>
      </c>
      <c r="D39" s="231"/>
      <c r="E39" s="231"/>
      <c r="F39" s="231"/>
    </row>
    <row r="40" spans="1:6" ht="14.25">
      <c r="A40" s="255"/>
      <c r="B40" s="104" t="s">
        <v>237</v>
      </c>
      <c r="C40" s="230">
        <v>75456000</v>
      </c>
      <c r="D40" s="231"/>
      <c r="E40" s="231"/>
      <c r="F40" s="231"/>
    </row>
    <row r="41" spans="1:6" ht="14.25">
      <c r="A41" s="255"/>
      <c r="B41" s="104" t="s">
        <v>696</v>
      </c>
      <c r="C41" s="230">
        <f>+'Imp diferidos'!G37</f>
        <v>-45269834.0830728</v>
      </c>
      <c r="D41" s="231"/>
      <c r="E41" s="231"/>
      <c r="F41" s="231"/>
    </row>
    <row r="42" spans="2:7" ht="15">
      <c r="B42" s="235" t="s">
        <v>92</v>
      </c>
      <c r="C42" s="236">
        <f>SUM(C6:C41)</f>
        <v>14792794838.707253</v>
      </c>
      <c r="D42" s="237">
        <f>SUM(D6:D41)</f>
        <v>39718020751.95636</v>
      </c>
      <c r="E42" s="237">
        <f>SUM(E6:E41)</f>
        <v>36533178585.06157</v>
      </c>
      <c r="F42" s="237">
        <f>SUM(F6:F41)</f>
        <v>8468765239.557402</v>
      </c>
      <c r="G42" s="256">
        <f>+C42-'Balance 01012014'!F22</f>
        <v>-35435135.658439636</v>
      </c>
    </row>
    <row r="43" ht="15">
      <c r="C43" s="228"/>
    </row>
    <row r="44" spans="2:6" ht="15">
      <c r="B44" s="239" t="s">
        <v>32</v>
      </c>
      <c r="C44" s="240"/>
      <c r="D44" s="241"/>
      <c r="E44" s="242"/>
      <c r="F44" s="241"/>
    </row>
    <row r="45" spans="1:6" ht="28.5">
      <c r="A45" s="255"/>
      <c r="B45" s="104" t="s">
        <v>731</v>
      </c>
      <c r="C45" s="230">
        <f>+arrendamiento!D41</f>
        <v>141186794.916614</v>
      </c>
      <c r="D45" s="231">
        <f>21000000+609250000</f>
        <v>630250000</v>
      </c>
      <c r="E45" s="231">
        <f>C45</f>
        <v>141186794.916614</v>
      </c>
      <c r="F45" s="231">
        <f>+C45+E45-D45</f>
        <v>-347876410.166772</v>
      </c>
    </row>
    <row r="46" spans="1:6" ht="14.25">
      <c r="A46" s="255"/>
      <c r="B46" s="104" t="s">
        <v>642</v>
      </c>
      <c r="C46" s="230">
        <f>+Inversiones!C72*-1</f>
        <v>22000000</v>
      </c>
      <c r="D46" s="231">
        <f>+C46</f>
        <v>22000000</v>
      </c>
      <c r="E46" s="231">
        <f>423000000+C46</f>
        <v>445000000</v>
      </c>
      <c r="F46" s="231">
        <f>+C46+E46-D46</f>
        <v>445000000</v>
      </c>
    </row>
    <row r="47" spans="1:6" ht="14.25">
      <c r="A47" s="255"/>
      <c r="B47" s="104" t="s">
        <v>152</v>
      </c>
      <c r="C47" s="230"/>
      <c r="D47" s="231">
        <f>14380000+C47</f>
        <v>14380000</v>
      </c>
      <c r="E47" s="231">
        <f>+C47</f>
        <v>0</v>
      </c>
      <c r="F47" s="231">
        <f>+C47+E47-D47</f>
        <v>-14380000</v>
      </c>
    </row>
    <row r="48" spans="1:6" ht="14.25">
      <c r="A48" s="255">
        <v>210510</v>
      </c>
      <c r="B48" s="104" t="s">
        <v>33</v>
      </c>
      <c r="C48" s="230">
        <v>1999891090.396502</v>
      </c>
      <c r="D48" s="231"/>
      <c r="E48" s="231"/>
      <c r="F48" s="231"/>
    </row>
    <row r="49" spans="1:6" ht="14.25">
      <c r="A49" s="255"/>
      <c r="B49" s="104" t="s">
        <v>734</v>
      </c>
      <c r="C49" s="230">
        <f>+Patrimonio!D23</f>
        <v>750000000</v>
      </c>
      <c r="D49" s="231"/>
      <c r="E49" s="231"/>
      <c r="F49" s="231"/>
    </row>
    <row r="50" spans="1:6" ht="14.25">
      <c r="A50" s="255"/>
      <c r="B50" s="104" t="s">
        <v>735</v>
      </c>
      <c r="C50" s="230" t="e">
        <f>+Ajustes!#REF!</f>
        <v>#REF!</v>
      </c>
      <c r="D50" s="231"/>
      <c r="E50" s="231"/>
      <c r="F50" s="231"/>
    </row>
    <row r="51" spans="1:6" ht="14.25">
      <c r="A51" s="255">
        <v>2205</v>
      </c>
      <c r="B51" s="104" t="s">
        <v>86</v>
      </c>
      <c r="C51" s="230">
        <v>652000000</v>
      </c>
      <c r="D51" s="231"/>
      <c r="E51" s="231"/>
      <c r="F51" s="231"/>
    </row>
    <row r="52" spans="1:6" ht="14.25">
      <c r="A52" s="255">
        <v>2365</v>
      </c>
      <c r="B52" s="104" t="s">
        <v>41</v>
      </c>
      <c r="C52" s="230">
        <v>26500000</v>
      </c>
      <c r="D52" s="231"/>
      <c r="E52" s="231"/>
      <c r="F52" s="231"/>
    </row>
    <row r="53" spans="1:6" ht="14.25">
      <c r="A53" s="255">
        <v>237010</v>
      </c>
      <c r="B53" s="104" t="s">
        <v>132</v>
      </c>
      <c r="C53" s="230">
        <v>36250000</v>
      </c>
      <c r="D53" s="231"/>
      <c r="E53" s="231"/>
      <c r="F53" s="231"/>
    </row>
    <row r="54" spans="1:6" ht="14.25">
      <c r="A54" s="255">
        <v>237005</v>
      </c>
      <c r="B54" s="104" t="s">
        <v>323</v>
      </c>
      <c r="C54" s="230">
        <v>63250000</v>
      </c>
      <c r="D54" s="231"/>
      <c r="E54" s="231"/>
      <c r="F54" s="231"/>
    </row>
    <row r="55" spans="1:6" ht="14.25">
      <c r="A55" s="255">
        <v>237045</v>
      </c>
      <c r="B55" s="104" t="s">
        <v>151</v>
      </c>
      <c r="C55" s="230">
        <v>176523000</v>
      </c>
      <c r="D55" s="231"/>
      <c r="E55" s="231"/>
      <c r="F55" s="231"/>
    </row>
    <row r="56" spans="1:6" ht="14.25">
      <c r="A56" s="255">
        <v>2412</v>
      </c>
      <c r="B56" s="104" t="s">
        <v>46</v>
      </c>
      <c r="C56" s="230">
        <v>126523000</v>
      </c>
      <c r="D56" s="231"/>
      <c r="E56" s="231"/>
      <c r="F56" s="231"/>
    </row>
    <row r="57" spans="1:6" ht="14.25">
      <c r="A57" s="255">
        <v>25</v>
      </c>
      <c r="B57" s="104" t="s">
        <v>732</v>
      </c>
      <c r="C57" s="230">
        <f>+Laboral!B22+Laboral!C22+Laboral!D22</f>
        <v>52381049.30410959</v>
      </c>
      <c r="D57" s="231"/>
      <c r="E57" s="231"/>
      <c r="F57" s="231"/>
    </row>
    <row r="58" spans="1:6" ht="14.25">
      <c r="A58" s="255">
        <v>25</v>
      </c>
      <c r="B58" s="104" t="s">
        <v>733</v>
      </c>
      <c r="C58" s="230">
        <f>+Laboral!K64</f>
        <v>31368974.507748738</v>
      </c>
      <c r="D58" s="231"/>
      <c r="E58" s="231"/>
      <c r="F58" s="231"/>
    </row>
    <row r="59" spans="1:6" ht="14.25">
      <c r="A59" s="255">
        <v>2635</v>
      </c>
      <c r="B59" s="104" t="s">
        <v>47</v>
      </c>
      <c r="C59" s="230">
        <v>311305626.46300435</v>
      </c>
      <c r="D59" s="231"/>
      <c r="E59" s="231"/>
      <c r="F59" s="231"/>
    </row>
    <row r="60" spans="1:6" ht="14.25">
      <c r="A60" s="255">
        <v>2640</v>
      </c>
      <c r="B60" s="104" t="s">
        <v>579</v>
      </c>
      <c r="C60" s="230">
        <v>126000000</v>
      </c>
      <c r="D60" s="231"/>
      <c r="E60" s="231"/>
      <c r="F60" s="231"/>
    </row>
    <row r="61" spans="1:6" ht="14.25">
      <c r="A61" s="255">
        <v>2404</v>
      </c>
      <c r="B61" s="104" t="s">
        <v>131</v>
      </c>
      <c r="C61" s="230">
        <v>125600000</v>
      </c>
      <c r="D61" s="231"/>
      <c r="E61" s="231"/>
      <c r="F61" s="231"/>
    </row>
    <row r="62" spans="1:6" ht="14.25">
      <c r="A62" s="255">
        <v>27</v>
      </c>
      <c r="B62" s="104" t="s">
        <v>287</v>
      </c>
      <c r="C62" s="230">
        <f>-'Imp diferidos'!F37</f>
        <v>356168039.1196468</v>
      </c>
      <c r="D62" s="231"/>
      <c r="E62" s="231"/>
      <c r="F62" s="231"/>
    </row>
    <row r="63" spans="2:7" ht="15">
      <c r="B63" s="239" t="s">
        <v>93</v>
      </c>
      <c r="C63" s="243" t="e">
        <f>SUM(C45:C62)</f>
        <v>#REF!</v>
      </c>
      <c r="D63" s="237">
        <f>SUM(D45:D62)</f>
        <v>666630000</v>
      </c>
      <c r="E63" s="237">
        <f>SUM(E45:E62)</f>
        <v>586186794.916614</v>
      </c>
      <c r="F63" s="237">
        <f>SUM(F45:F62)</f>
        <v>82743589.83322799</v>
      </c>
      <c r="G63" s="256" t="e">
        <f>+C63-'Balance 01012014'!F37</f>
        <v>#REF!</v>
      </c>
    </row>
    <row r="64" spans="3:6" ht="15">
      <c r="C64" s="244"/>
      <c r="D64" s="244"/>
      <c r="E64" s="244"/>
      <c r="F64" s="244"/>
    </row>
    <row r="65" spans="2:7" ht="15">
      <c r="B65" s="239" t="s">
        <v>36</v>
      </c>
      <c r="C65" s="237">
        <f>SUM(C66:C71)</f>
        <v>10016157686.073246</v>
      </c>
      <c r="D65" s="237">
        <f>SUM(D66:D71)</f>
        <v>0</v>
      </c>
      <c r="E65" s="237">
        <f>SUM(E66:E71)</f>
        <v>0</v>
      </c>
      <c r="F65" s="237">
        <f>SUM(F66:F71)</f>
        <v>2500000000</v>
      </c>
      <c r="G65" s="245"/>
    </row>
    <row r="66" spans="1:7" ht="14.25">
      <c r="A66" s="255"/>
      <c r="B66" s="104" t="s">
        <v>63</v>
      </c>
      <c r="C66" s="230">
        <v>2500000000</v>
      </c>
      <c r="D66" s="231"/>
      <c r="E66" s="231"/>
      <c r="F66" s="231">
        <f>+C66+E66-D66</f>
        <v>2500000000</v>
      </c>
      <c r="G66" s="226" t="s">
        <v>0</v>
      </c>
    </row>
    <row r="67" spans="1:6" ht="14.25">
      <c r="A67" s="255"/>
      <c r="B67" s="104" t="s">
        <v>26</v>
      </c>
      <c r="C67" s="230">
        <v>845589107</v>
      </c>
      <c r="D67" s="231"/>
      <c r="E67" s="231"/>
      <c r="F67" s="231"/>
    </row>
    <row r="68" spans="1:6" ht="28.5">
      <c r="A68" s="255"/>
      <c r="B68" s="104" t="s">
        <v>632</v>
      </c>
      <c r="C68" s="230">
        <v>164000000</v>
      </c>
      <c r="D68" s="231"/>
      <c r="E68" s="231"/>
      <c r="F68" s="231"/>
    </row>
    <row r="69" spans="1:6" ht="28.5">
      <c r="A69" s="255"/>
      <c r="B69" s="104" t="s">
        <v>669</v>
      </c>
      <c r="C69" s="230">
        <v>4024000000</v>
      </c>
      <c r="D69" s="231"/>
      <c r="E69" s="231"/>
      <c r="F69" s="231"/>
    </row>
    <row r="70" spans="1:6" ht="14.25">
      <c r="A70" s="255"/>
      <c r="B70" s="104" t="s">
        <v>28</v>
      </c>
      <c r="C70" s="230">
        <v>2482568579.073246</v>
      </c>
      <c r="D70" s="231"/>
      <c r="E70" s="231"/>
      <c r="F70" s="231"/>
    </row>
    <row r="71" spans="3:4" ht="15">
      <c r="C71" s="228"/>
      <c r="D71" s="238"/>
    </row>
    <row r="72" spans="2:6" ht="15">
      <c r="B72" s="239" t="s">
        <v>94</v>
      </c>
      <c r="C72" s="237" t="e">
        <f>+C63+C65</f>
        <v>#REF!</v>
      </c>
      <c r="D72" s="237">
        <f>+D63+D65</f>
        <v>666630000</v>
      </c>
      <c r="E72" s="237">
        <f>+E63+E65</f>
        <v>586186794.916614</v>
      </c>
      <c r="F72" s="237">
        <f>+F63+F65</f>
        <v>2582743589.833228</v>
      </c>
    </row>
    <row r="74" spans="3:6" ht="14.25">
      <c r="C74" s="246" t="e">
        <f>+C72-C42</f>
        <v>#REF!</v>
      </c>
      <c r="D74" s="247">
        <f>+D72+D42</f>
        <v>40384650751.95636</v>
      </c>
      <c r="E74" s="247">
        <f>+E72+E42</f>
        <v>37119365379.97818</v>
      </c>
      <c r="F74" s="247">
        <f>+F72-F42</f>
        <v>-5886021649.724174</v>
      </c>
    </row>
    <row r="76" spans="3:6" ht="15">
      <c r="C76" s="225" t="s">
        <v>703</v>
      </c>
      <c r="D76" s="225" t="s">
        <v>630</v>
      </c>
      <c r="E76" s="225" t="s">
        <v>631</v>
      </c>
      <c r="F76" s="225" t="s">
        <v>701</v>
      </c>
    </row>
    <row r="77" spans="2:6" s="250" customFormat="1" ht="15">
      <c r="B77" s="248" t="s">
        <v>704</v>
      </c>
      <c r="C77" s="249"/>
      <c r="D77" s="249"/>
      <c r="E77" s="249"/>
      <c r="F77" s="249"/>
    </row>
    <row r="78" spans="2:6" ht="15">
      <c r="B78" s="239" t="s">
        <v>705</v>
      </c>
      <c r="C78" s="251">
        <f>SUM(C79:C89)</f>
        <v>0</v>
      </c>
      <c r="D78" s="251">
        <f>SUM(D79:D89)</f>
        <v>920000000</v>
      </c>
      <c r="E78" s="251">
        <f>SUM(E79:E89)</f>
        <v>20196387914.444435</v>
      </c>
      <c r="F78" s="251">
        <f>SUM(F79:F89)</f>
        <v>19276387914.444435</v>
      </c>
    </row>
    <row r="79" spans="1:6" ht="14.25">
      <c r="A79" s="255"/>
      <c r="B79" s="104" t="s">
        <v>706</v>
      </c>
      <c r="C79" s="231"/>
      <c r="D79" s="231"/>
      <c r="E79" s="231">
        <f>+'[1]Deudores'!E37</f>
        <v>19174000000</v>
      </c>
      <c r="F79" s="231">
        <f>+C79+E79-D79</f>
        <v>19174000000</v>
      </c>
    </row>
    <row r="80" spans="1:6" ht="14.25">
      <c r="A80" s="255"/>
      <c r="B80" s="104" t="s">
        <v>707</v>
      </c>
      <c r="C80" s="231"/>
      <c r="D80" s="231"/>
      <c r="E80" s="231">
        <f>+'[1]Inventarios'!E78</f>
        <v>650000000</v>
      </c>
      <c r="F80" s="231">
        <f aca="true" t="shared" si="1" ref="F80:F89">+C80+E80-D80</f>
        <v>650000000</v>
      </c>
    </row>
    <row r="81" spans="1:7" ht="28.5">
      <c r="A81" s="255"/>
      <c r="B81" s="104" t="s">
        <v>708</v>
      </c>
      <c r="C81" s="231"/>
      <c r="D81" s="231"/>
      <c r="E81" s="231">
        <f>+'[1]Inventarios'!E87</f>
        <v>34500000</v>
      </c>
      <c r="F81" s="231">
        <f t="shared" si="1"/>
        <v>34500000</v>
      </c>
      <c r="G81" s="226" t="s">
        <v>0</v>
      </c>
    </row>
    <row r="82" spans="1:8" ht="14.25">
      <c r="A82" s="255"/>
      <c r="B82" s="104" t="s">
        <v>709</v>
      </c>
      <c r="C82" s="231"/>
      <c r="D82" s="231"/>
      <c r="E82" s="231"/>
      <c r="F82" s="231">
        <f t="shared" si="1"/>
        <v>0</v>
      </c>
      <c r="H82" s="252"/>
    </row>
    <row r="83" spans="1:8" ht="14.25">
      <c r="A83" s="255"/>
      <c r="B83" s="104" t="s">
        <v>279</v>
      </c>
      <c r="C83" s="231"/>
      <c r="D83" s="231"/>
      <c r="E83" s="231">
        <f>+'[1]Inversiones'!D95+'[1]Deudores'!E56+'[1]Deudores'!E130</f>
        <v>64904214.444436535</v>
      </c>
      <c r="F83" s="231">
        <f t="shared" si="1"/>
        <v>64904214.444436535</v>
      </c>
      <c r="H83" s="252"/>
    </row>
    <row r="84" spans="1:6" ht="14.25">
      <c r="A84" s="255"/>
      <c r="B84" s="104" t="s">
        <v>513</v>
      </c>
      <c r="C84" s="231"/>
      <c r="D84" s="231"/>
      <c r="E84" s="231">
        <v>65436700</v>
      </c>
      <c r="F84" s="231">
        <f t="shared" si="1"/>
        <v>65436700</v>
      </c>
    </row>
    <row r="85" spans="1:6" ht="28.5">
      <c r="A85" s="255"/>
      <c r="B85" s="104" t="s">
        <v>710</v>
      </c>
      <c r="C85" s="231"/>
      <c r="D85" s="231">
        <f>+'[1]Inversiones'!D30</f>
        <v>920000000</v>
      </c>
      <c r="E85" s="231"/>
      <c r="F85" s="231">
        <f t="shared" si="1"/>
        <v>-920000000</v>
      </c>
    </row>
    <row r="86" spans="1:6" ht="28.5">
      <c r="A86" s="255"/>
      <c r="B86" s="104" t="s">
        <v>711</v>
      </c>
      <c r="C86" s="231"/>
      <c r="D86" s="231"/>
      <c r="E86" s="231">
        <f>+'[1]PPYE'!G22-'[1]PPYE'!G20</f>
        <v>50000000</v>
      </c>
      <c r="F86" s="231">
        <f t="shared" si="1"/>
        <v>50000000</v>
      </c>
    </row>
    <row r="87" spans="1:6" ht="28.5">
      <c r="A87" s="255"/>
      <c r="B87" s="104" t="s">
        <v>712</v>
      </c>
      <c r="C87" s="231"/>
      <c r="D87" s="231"/>
      <c r="E87" s="231">
        <v>36547000</v>
      </c>
      <c r="F87" s="231">
        <f t="shared" si="1"/>
        <v>36547000</v>
      </c>
    </row>
    <row r="88" spans="1:6" ht="14.25">
      <c r="A88" s="255"/>
      <c r="B88" s="104" t="s">
        <v>713</v>
      </c>
      <c r="C88" s="231"/>
      <c r="D88" s="231"/>
      <c r="E88" s="231">
        <v>45000000</v>
      </c>
      <c r="F88" s="231">
        <f t="shared" si="1"/>
        <v>45000000</v>
      </c>
    </row>
    <row r="89" spans="1:6" ht="14.25">
      <c r="A89" s="255"/>
      <c r="B89" s="104" t="s">
        <v>150</v>
      </c>
      <c r="C89" s="231"/>
      <c r="D89" s="231"/>
      <c r="E89" s="231">
        <v>76000000</v>
      </c>
      <c r="F89" s="231">
        <f t="shared" si="1"/>
        <v>76000000</v>
      </c>
    </row>
    <row r="90" spans="2:6" s="250" customFormat="1" ht="15">
      <c r="B90" s="253"/>
      <c r="C90" s="249"/>
      <c r="D90" s="249"/>
      <c r="E90" s="249"/>
      <c r="F90" s="249"/>
    </row>
    <row r="91" spans="2:6" ht="15">
      <c r="B91" s="239" t="s">
        <v>714</v>
      </c>
      <c r="C91" s="251">
        <f>SUM(C92:C109)</f>
        <v>0</v>
      </c>
      <c r="D91" s="251">
        <f>SUM(D92:D109)</f>
        <v>17652861282.904118</v>
      </c>
      <c r="E91" s="251">
        <f>SUM(E92:E109)</f>
        <v>0</v>
      </c>
      <c r="F91" s="251">
        <f>SUM(F92:F109)</f>
        <v>17652861282.904118</v>
      </c>
    </row>
    <row r="92" spans="1:8" ht="14.25">
      <c r="A92" s="255"/>
      <c r="B92" s="104" t="s">
        <v>478</v>
      </c>
      <c r="C92" s="231"/>
      <c r="D92" s="231">
        <f>+'[1]Deudores'!E46+3550000000-7500002</f>
        <v>12170799998</v>
      </c>
      <c r="E92" s="231"/>
      <c r="F92" s="231">
        <f>+C92+D92-E92</f>
        <v>12170799998</v>
      </c>
      <c r="H92" s="226" t="s">
        <v>0</v>
      </c>
    </row>
    <row r="93" spans="1:6" ht="14.25">
      <c r="A93" s="255"/>
      <c r="B93" s="104" t="s">
        <v>715</v>
      </c>
      <c r="C93" s="231"/>
      <c r="D93" s="231">
        <f>+'[1]Inventarios'!D81</f>
        <v>320000000</v>
      </c>
      <c r="E93" s="231"/>
      <c r="F93" s="231">
        <f aca="true" t="shared" si="2" ref="F93:F109">+C93+D93-E93</f>
        <v>320000000</v>
      </c>
    </row>
    <row r="94" spans="1:6" ht="14.25">
      <c r="A94" s="255"/>
      <c r="B94" s="104" t="s">
        <v>716</v>
      </c>
      <c r="C94" s="231"/>
      <c r="D94" s="231">
        <v>4500001</v>
      </c>
      <c r="E94" s="231">
        <v>0</v>
      </c>
      <c r="F94" s="231">
        <f t="shared" si="2"/>
        <v>4500001</v>
      </c>
    </row>
    <row r="95" spans="1:6" ht="14.25">
      <c r="A95" s="255"/>
      <c r="B95" s="104" t="s">
        <v>717</v>
      </c>
      <c r="C95" s="231"/>
      <c r="D95" s="231">
        <f>6500000+1654000000</f>
        <v>1660500000</v>
      </c>
      <c r="E95" s="231"/>
      <c r="F95" s="231">
        <f t="shared" si="2"/>
        <v>1660500000</v>
      </c>
    </row>
    <row r="96" spans="1:6" ht="14.25">
      <c r="A96" s="255"/>
      <c r="B96" s="104" t="s">
        <v>480</v>
      </c>
      <c r="C96" s="231"/>
      <c r="D96" s="231">
        <f>+'[1]Otros activos'!D16+54000000</f>
        <v>66500000</v>
      </c>
      <c r="E96" s="231"/>
      <c r="F96" s="231">
        <f t="shared" si="2"/>
        <v>66500000</v>
      </c>
    </row>
    <row r="97" spans="1:6" ht="14.25">
      <c r="A97" s="255"/>
      <c r="B97" s="104" t="s">
        <v>718</v>
      </c>
      <c r="C97" s="231"/>
      <c r="D97" s="231">
        <v>543200000</v>
      </c>
      <c r="E97" s="231"/>
      <c r="F97" s="231">
        <f t="shared" si="2"/>
        <v>543200000</v>
      </c>
    </row>
    <row r="98" spans="1:7" ht="14.25">
      <c r="A98" s="255"/>
      <c r="B98" s="104" t="s">
        <v>719</v>
      </c>
      <c r="C98" s="231"/>
      <c r="D98" s="231">
        <v>654300000</v>
      </c>
      <c r="E98" s="231"/>
      <c r="F98" s="231">
        <f t="shared" si="2"/>
        <v>654300000</v>
      </c>
      <c r="G98" s="234"/>
    </row>
    <row r="99" spans="1:6" ht="14.25">
      <c r="A99" s="255"/>
      <c r="B99" s="104" t="s">
        <v>720</v>
      </c>
      <c r="C99" s="231"/>
      <c r="D99" s="231">
        <f>+'[1]Otros activos'!D18</f>
        <v>85000000</v>
      </c>
      <c r="E99" s="231"/>
      <c r="F99" s="231">
        <f t="shared" si="2"/>
        <v>85000000</v>
      </c>
    </row>
    <row r="100" spans="1:6" ht="14.25">
      <c r="A100" s="255"/>
      <c r="B100" s="104" t="s">
        <v>721</v>
      </c>
      <c r="C100" s="231"/>
      <c r="D100" s="231">
        <f>+'[1]PPYE'!J17</f>
        <v>406462186.99739504</v>
      </c>
      <c r="E100" s="231"/>
      <c r="F100" s="231">
        <f t="shared" si="2"/>
        <v>406462186.99739504</v>
      </c>
    </row>
    <row r="101" spans="1:7" ht="14.25">
      <c r="A101" s="255"/>
      <c r="B101" s="104" t="s">
        <v>722</v>
      </c>
      <c r="C101" s="231"/>
      <c r="D101" s="231">
        <f>+'[1]Otros activos'!D17+523000000</f>
        <v>588000000</v>
      </c>
      <c r="E101" s="231"/>
      <c r="F101" s="231">
        <f t="shared" si="2"/>
        <v>588000000</v>
      </c>
      <c r="G101" s="226" t="s">
        <v>0</v>
      </c>
    </row>
    <row r="102" spans="1:6" ht="14.25">
      <c r="A102" s="255"/>
      <c r="B102" s="104" t="s">
        <v>723</v>
      </c>
      <c r="C102" s="231"/>
      <c r="D102" s="231">
        <f>+'[1]Otros activos'!D19</f>
        <v>55000000</v>
      </c>
      <c r="E102" s="231"/>
      <c r="F102" s="231">
        <f t="shared" si="2"/>
        <v>55000000</v>
      </c>
    </row>
    <row r="103" spans="1:6" ht="14.25">
      <c r="A103" s="255"/>
      <c r="B103" s="104" t="s">
        <v>724</v>
      </c>
      <c r="C103" s="231"/>
      <c r="D103" s="231">
        <v>35000000</v>
      </c>
      <c r="E103" s="231"/>
      <c r="F103" s="231">
        <f t="shared" si="2"/>
        <v>35000000</v>
      </c>
    </row>
    <row r="104" spans="1:6" ht="14.25">
      <c r="A104" s="255"/>
      <c r="B104" s="104" t="s">
        <v>725</v>
      </c>
      <c r="C104" s="231"/>
      <c r="D104" s="231">
        <v>35000000</v>
      </c>
      <c r="E104" s="231"/>
      <c r="F104" s="231">
        <f t="shared" si="2"/>
        <v>35000000</v>
      </c>
    </row>
    <row r="105" spans="1:8" ht="14.25">
      <c r="A105" s="255"/>
      <c r="B105" s="104" t="s">
        <v>726</v>
      </c>
      <c r="C105" s="231"/>
      <c r="D105" s="231">
        <v>54000000</v>
      </c>
      <c r="E105" s="231"/>
      <c r="F105" s="231">
        <f t="shared" si="2"/>
        <v>54000000</v>
      </c>
      <c r="H105" s="234"/>
    </row>
    <row r="106" spans="1:6" ht="14.25">
      <c r="A106" s="255"/>
      <c r="B106" s="104" t="s">
        <v>702</v>
      </c>
      <c r="C106" s="231"/>
      <c r="D106" s="231">
        <v>0</v>
      </c>
      <c r="E106" s="231"/>
      <c r="F106" s="231">
        <f t="shared" si="2"/>
        <v>0</v>
      </c>
    </row>
    <row r="107" spans="1:6" ht="14.25">
      <c r="A107" s="255"/>
      <c r="B107" s="104" t="s">
        <v>490</v>
      </c>
      <c r="C107" s="231"/>
      <c r="D107" s="231">
        <f>+'[1]Pasivos'!L13+'[1]Leasing'!F55+'[1]Leasing'!F185+35263000</f>
        <v>315599096.9067236</v>
      </c>
      <c r="E107" s="231"/>
      <c r="F107" s="231">
        <f t="shared" si="2"/>
        <v>315599096.9067236</v>
      </c>
    </row>
    <row r="108" spans="1:6" ht="14.25">
      <c r="A108" s="255"/>
      <c r="B108" s="104" t="s">
        <v>727</v>
      </c>
      <c r="C108" s="231"/>
      <c r="D108" s="231">
        <v>143000000</v>
      </c>
      <c r="E108" s="231"/>
      <c r="F108" s="231">
        <f t="shared" si="2"/>
        <v>143000000</v>
      </c>
    </row>
    <row r="109" spans="1:6" ht="15">
      <c r="A109" s="255"/>
      <c r="B109" s="104" t="s">
        <v>728</v>
      </c>
      <c r="C109" s="251"/>
      <c r="D109" s="231">
        <v>516000000</v>
      </c>
      <c r="E109" s="251"/>
      <c r="F109" s="231">
        <f t="shared" si="2"/>
        <v>516000000</v>
      </c>
    </row>
    <row r="110" spans="2:6" ht="15">
      <c r="B110" s="239" t="s">
        <v>729</v>
      </c>
      <c r="C110" s="237">
        <f>+C78-C91</f>
        <v>0</v>
      </c>
      <c r="D110" s="237">
        <f>+D78-D91</f>
        <v>-16732861282.904118</v>
      </c>
      <c r="E110" s="237">
        <f>+E78-E91</f>
        <v>20196387914.444435</v>
      </c>
      <c r="F110" s="237">
        <f>+F78-F91</f>
        <v>1623526631.5403175</v>
      </c>
    </row>
    <row r="114" ht="15">
      <c r="B114" s="229"/>
    </row>
  </sheetData>
  <sheetProtection/>
  <hyperlinks>
    <hyperlink ref="F2" r:id="rId1" display="leovarong@yahoo.com"/>
    <hyperlink ref="B6" location="Efectivo!A1" display="Efectivo y equivalentes"/>
  </hyperlinks>
  <printOptions/>
  <pageMargins left="0.3937007874015748" right="0.3937007874015748" top="0.3937007874015748" bottom="0.3937007874015748" header="0" footer="0"/>
  <pageSetup fitToHeight="1" fitToWidth="1" horizontalDpi="120" verticalDpi="120" orientation="landscape" scale="6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showGridLines="0" zoomScale="190" zoomScaleNormal="190" zoomScalePageLayoutView="0" workbookViewId="0" topLeftCell="A1">
      <pane ySplit="1" topLeftCell="A154" activePane="bottomLeft" state="frozen"/>
      <selection pane="topLeft" activeCell="A1" sqref="A1"/>
      <selection pane="bottomLeft" activeCell="C164" sqref="C164"/>
    </sheetView>
  </sheetViews>
  <sheetFormatPr defaultColWidth="11.421875" defaultRowHeight="12.75"/>
  <cols>
    <col min="1" max="1" width="17.00390625" style="44" customWidth="1"/>
    <col min="2" max="2" width="16.140625" style="44" customWidth="1"/>
    <col min="3" max="3" width="11.421875" style="44" customWidth="1"/>
    <col min="4" max="5" width="18.57421875" style="44" customWidth="1"/>
    <col min="6" max="7" width="11.421875" style="44" customWidth="1"/>
    <col min="8" max="8" width="16.140625" style="44" customWidth="1"/>
    <col min="9" max="9" width="16.8515625" style="44" bestFit="1" customWidth="1"/>
    <col min="10" max="16384" width="11.421875" style="44" customWidth="1"/>
  </cols>
  <sheetData>
    <row r="1" spans="1:6" s="79" customFormat="1" ht="48.75" customHeight="1">
      <c r="A1" s="81" t="s">
        <v>170</v>
      </c>
      <c r="B1" s="80"/>
      <c r="D1" s="81" t="s">
        <v>171</v>
      </c>
      <c r="E1" s="81"/>
      <c r="F1" s="81"/>
    </row>
    <row r="2" ht="12.75"/>
    <row r="4" spans="1:5" ht="12.75">
      <c r="A4" s="105" t="s">
        <v>616</v>
      </c>
      <c r="B4" s="106"/>
      <c r="C4" s="106"/>
      <c r="D4" s="106"/>
      <c r="E4" s="106"/>
    </row>
    <row r="5" ht="12.75">
      <c r="A5" s="62"/>
    </row>
    <row r="6" ht="12.75">
      <c r="A6" s="62"/>
    </row>
    <row r="7" spans="1:5" ht="12.75">
      <c r="A7" s="105" t="s">
        <v>755</v>
      </c>
      <c r="B7" s="106"/>
      <c r="C7" s="106"/>
      <c r="D7" s="106"/>
      <c r="E7" s="106"/>
    </row>
    <row r="8" spans="1:5" ht="12.75">
      <c r="A8" s="152" t="s">
        <v>0</v>
      </c>
      <c r="D8" s="62" t="s">
        <v>630</v>
      </c>
      <c r="E8" s="62" t="s">
        <v>631</v>
      </c>
    </row>
    <row r="9" spans="1:5" ht="12.75">
      <c r="A9" s="152" t="s">
        <v>756</v>
      </c>
      <c r="E9" s="44">
        <f>+Inversiones!C25</f>
        <v>367871526</v>
      </c>
    </row>
    <row r="10" spans="1:4" ht="12.75">
      <c r="A10" s="152" t="s">
        <v>29</v>
      </c>
      <c r="D10" s="44">
        <f>+E9</f>
        <v>367871526</v>
      </c>
    </row>
    <row r="11" ht="12.75">
      <c r="G11" s="62" t="s">
        <v>762</v>
      </c>
    </row>
    <row r="12" spans="1:9" ht="12.75">
      <c r="A12" s="152" t="s">
        <v>757</v>
      </c>
      <c r="D12" s="44">
        <f>+Inversiones!C25</f>
        <v>367871526</v>
      </c>
      <c r="G12" s="152" t="s">
        <v>760</v>
      </c>
      <c r="I12" s="44">
        <f>+Inversiones!E12</f>
        <v>2156000000</v>
      </c>
    </row>
    <row r="13" spans="1:9" ht="12.75">
      <c r="A13" s="152" t="s">
        <v>758</v>
      </c>
      <c r="E13" s="44">
        <f>+D12-E14</f>
        <v>203871526</v>
      </c>
      <c r="G13" s="152" t="s">
        <v>435</v>
      </c>
      <c r="I13" s="44">
        <f>+Inversiones!D23</f>
        <v>2320000000</v>
      </c>
    </row>
    <row r="14" spans="1:10" ht="12.75">
      <c r="A14" s="152" t="s">
        <v>759</v>
      </c>
      <c r="E14" s="44">
        <f>+I14</f>
        <v>164000000</v>
      </c>
      <c r="G14" s="62" t="s">
        <v>761</v>
      </c>
      <c r="H14" s="62"/>
      <c r="I14" s="62">
        <f>+I13-I12</f>
        <v>164000000</v>
      </c>
      <c r="J14" s="152" t="s">
        <v>763</v>
      </c>
    </row>
    <row r="17" ht="11.25" customHeight="1"/>
    <row r="18" spans="1:5" ht="12.75">
      <c r="A18" s="105" t="s">
        <v>764</v>
      </c>
      <c r="B18" s="106"/>
      <c r="C18" s="106"/>
      <c r="D18" s="106"/>
      <c r="E18" s="106"/>
    </row>
    <row r="19" spans="1:5" ht="12.75">
      <c r="A19" s="152" t="s">
        <v>0</v>
      </c>
      <c r="D19" s="62" t="s">
        <v>630</v>
      </c>
      <c r="E19" s="62" t="s">
        <v>631</v>
      </c>
    </row>
    <row r="20" spans="1:5" ht="12.75">
      <c r="A20" s="152" t="s">
        <v>765</v>
      </c>
      <c r="E20" s="44">
        <f>-Inversiones!D36</f>
        <v>200000000</v>
      </c>
    </row>
    <row r="21" spans="1:4" ht="12.75">
      <c r="A21" s="152" t="s">
        <v>472</v>
      </c>
      <c r="D21" s="44">
        <f>+E20</f>
        <v>200000000</v>
      </c>
    </row>
    <row r="24" spans="1:5" ht="12.75">
      <c r="A24" s="105" t="s">
        <v>766</v>
      </c>
      <c r="B24" s="106"/>
      <c r="C24" s="106"/>
      <c r="D24" s="106"/>
      <c r="E24" s="106"/>
    </row>
    <row r="25" spans="1:5" ht="12.75">
      <c r="A25" s="152" t="s">
        <v>0</v>
      </c>
      <c r="D25" s="62" t="s">
        <v>630</v>
      </c>
      <c r="E25" s="62" t="s">
        <v>631</v>
      </c>
    </row>
    <row r="26" spans="1:5" ht="12.75">
      <c r="A26" s="44" t="s">
        <v>29</v>
      </c>
      <c r="E26" s="44">
        <f>+Inversiones!E37</f>
        <v>4455623526</v>
      </c>
    </row>
    <row r="27" spans="1:4" ht="12.75">
      <c r="A27" s="44" t="s">
        <v>428</v>
      </c>
      <c r="D27" s="44">
        <f>+Inversiones!E36</f>
        <v>1750000000</v>
      </c>
    </row>
    <row r="28" spans="1:4" ht="12.75">
      <c r="A28" s="44" t="s">
        <v>242</v>
      </c>
      <c r="D28" s="44">
        <f>+Inversiones!E34+Inversiones!E35</f>
        <v>2705623526</v>
      </c>
    </row>
    <row r="31" spans="1:5" ht="12.75">
      <c r="A31" s="105" t="s">
        <v>768</v>
      </c>
      <c r="B31" s="106"/>
      <c r="C31" s="106"/>
      <c r="D31" s="106"/>
      <c r="E31" s="106"/>
    </row>
    <row r="32" spans="1:5" ht="12.75">
      <c r="A32" s="152" t="s">
        <v>0</v>
      </c>
      <c r="D32" s="62" t="s">
        <v>630</v>
      </c>
      <c r="E32" s="62" t="s">
        <v>631</v>
      </c>
    </row>
    <row r="33" spans="1:5" ht="12.75">
      <c r="A33" s="44" t="s">
        <v>769</v>
      </c>
      <c r="E33" s="44">
        <f>+Inversiones!C53</f>
        <v>132526364</v>
      </c>
    </row>
    <row r="34" spans="1:4" ht="12.75">
      <c r="A34" s="44" t="s">
        <v>770</v>
      </c>
      <c r="D34" s="44">
        <f>+E33</f>
        <v>132526364</v>
      </c>
    </row>
    <row r="37" spans="1:5" ht="12.75">
      <c r="A37" s="105" t="s">
        <v>782</v>
      </c>
      <c r="B37" s="106"/>
      <c r="C37" s="106"/>
      <c r="D37" s="106"/>
      <c r="E37" s="106"/>
    </row>
    <row r="38" spans="1:5" ht="12.75">
      <c r="A38" s="152" t="s">
        <v>0</v>
      </c>
      <c r="D38" s="62" t="s">
        <v>630</v>
      </c>
      <c r="E38" s="62" t="s">
        <v>631</v>
      </c>
    </row>
    <row r="39" spans="1:5" ht="12.75">
      <c r="A39" s="152" t="s">
        <v>783</v>
      </c>
      <c r="E39" s="44">
        <f>-Inversiones!C72</f>
        <v>22000000</v>
      </c>
    </row>
    <row r="40" spans="1:4" ht="12.75">
      <c r="A40" s="152" t="s">
        <v>784</v>
      </c>
      <c r="D40" s="44">
        <f>+E39</f>
        <v>22000000</v>
      </c>
    </row>
    <row r="43" spans="1:5" ht="12.75">
      <c r="A43" s="105" t="s">
        <v>786</v>
      </c>
      <c r="B43" s="106"/>
      <c r="C43" s="106"/>
      <c r="D43" s="106"/>
      <c r="E43" s="106"/>
    </row>
    <row r="44" spans="1:5" ht="12.75">
      <c r="A44" s="152" t="s">
        <v>0</v>
      </c>
      <c r="D44" s="62" t="s">
        <v>630</v>
      </c>
      <c r="E44" s="62" t="s">
        <v>631</v>
      </c>
    </row>
    <row r="45" spans="1:5" ht="12.75">
      <c r="A45" s="152" t="s">
        <v>787</v>
      </c>
      <c r="E45" s="44">
        <f>-Deudores!D9</f>
        <v>12562000</v>
      </c>
    </row>
    <row r="46" spans="1:4" ht="12.75">
      <c r="A46" s="152" t="s">
        <v>98</v>
      </c>
      <c r="D46" s="44">
        <f>+E45</f>
        <v>12562000</v>
      </c>
    </row>
    <row r="49" spans="1:5" ht="12.75">
      <c r="A49" s="105" t="s">
        <v>788</v>
      </c>
      <c r="B49" s="106"/>
      <c r="C49" s="106"/>
      <c r="D49" s="106"/>
      <c r="E49" s="106"/>
    </row>
    <row r="50" spans="1:5" ht="12.75">
      <c r="A50" s="152" t="s">
        <v>0</v>
      </c>
      <c r="D50" s="62" t="s">
        <v>630</v>
      </c>
      <c r="E50" s="62" t="s">
        <v>631</v>
      </c>
    </row>
    <row r="51" spans="1:5" ht="12.75">
      <c r="A51" s="152" t="s">
        <v>789</v>
      </c>
      <c r="E51" s="44">
        <f>-Deudores!D10</f>
        <v>4714029.6635892615</v>
      </c>
    </row>
    <row r="52" spans="1:4" ht="12.75">
      <c r="A52" s="152" t="s">
        <v>472</v>
      </c>
      <c r="D52" s="44">
        <f>+E51</f>
        <v>4714029.6635892615</v>
      </c>
    </row>
    <row r="54" spans="1:5" ht="12.75">
      <c r="A54" s="105" t="s">
        <v>792</v>
      </c>
      <c r="B54" s="106"/>
      <c r="C54" s="106"/>
      <c r="D54" s="106"/>
      <c r="E54" s="106"/>
    </row>
    <row r="55" spans="1:5" ht="12.75">
      <c r="A55" s="152" t="s">
        <v>0</v>
      </c>
      <c r="D55" s="62" t="s">
        <v>630</v>
      </c>
      <c r="E55" s="62" t="s">
        <v>631</v>
      </c>
    </row>
    <row r="56" spans="1:4" ht="12.75">
      <c r="A56" s="152" t="s">
        <v>793</v>
      </c>
      <c r="D56" s="44">
        <f>+Deudores!D12</f>
        <v>26695081.401576392</v>
      </c>
    </row>
    <row r="57" spans="1:5" ht="12.75">
      <c r="A57" s="152" t="s">
        <v>472</v>
      </c>
      <c r="E57" s="44">
        <f>+D56</f>
        <v>26695081.401576392</v>
      </c>
    </row>
    <row r="60" spans="1:5" ht="12.75">
      <c r="A60" s="105" t="s">
        <v>795</v>
      </c>
      <c r="B60" s="106"/>
      <c r="C60" s="106"/>
      <c r="D60" s="106"/>
      <c r="E60" s="106"/>
    </row>
    <row r="61" spans="1:5" ht="12.75">
      <c r="A61" s="152" t="s">
        <v>0</v>
      </c>
      <c r="D61" s="62" t="s">
        <v>630</v>
      </c>
      <c r="E61" s="62" t="s">
        <v>631</v>
      </c>
    </row>
    <row r="62" spans="1:5" ht="12.75">
      <c r="A62" s="44" t="s">
        <v>796</v>
      </c>
      <c r="E62" s="44">
        <f>-Inventarios!E10</f>
        <v>9952000</v>
      </c>
    </row>
    <row r="63" spans="1:4" ht="12.75">
      <c r="A63" s="44" t="s">
        <v>472</v>
      </c>
      <c r="D63" s="44">
        <f>+E62</f>
        <v>9952000</v>
      </c>
    </row>
    <row r="65" spans="1:5" ht="12.75">
      <c r="A65" s="105" t="s">
        <v>798</v>
      </c>
      <c r="B65" s="106"/>
      <c r="C65" s="106"/>
      <c r="D65" s="106"/>
      <c r="E65" s="106"/>
    </row>
    <row r="66" spans="1:5" ht="12.75">
      <c r="A66" s="152" t="s">
        <v>0</v>
      </c>
      <c r="D66" s="62" t="s">
        <v>630</v>
      </c>
      <c r="E66" s="62" t="s">
        <v>631</v>
      </c>
    </row>
    <row r="67" spans="1:5" ht="12.75">
      <c r="A67" s="44" t="s">
        <v>799</v>
      </c>
      <c r="E67" s="44">
        <f>+Inventarios!C8</f>
        <v>132342823</v>
      </c>
    </row>
    <row r="68" spans="1:4" ht="12.75">
      <c r="A68" s="44" t="s">
        <v>126</v>
      </c>
      <c r="D68" s="44">
        <f>+E67</f>
        <v>132342823</v>
      </c>
    </row>
    <row r="70" spans="1:4" ht="12.75">
      <c r="A70" s="44" t="s">
        <v>126</v>
      </c>
      <c r="D70" s="44">
        <f>+Inventarios!D8</f>
        <v>53101177</v>
      </c>
    </row>
    <row r="71" spans="1:5" ht="12.75">
      <c r="A71" s="44" t="s">
        <v>800</v>
      </c>
      <c r="E71" s="44">
        <f>+D70</f>
        <v>53101177</v>
      </c>
    </row>
    <row r="74" spans="1:5" ht="12.75">
      <c r="A74" s="105" t="s">
        <v>801</v>
      </c>
      <c r="B74" s="106"/>
      <c r="C74" s="106"/>
      <c r="D74" s="106"/>
      <c r="E74" s="106"/>
    </row>
    <row r="75" spans="1:5" ht="12.75">
      <c r="A75" s="152" t="s">
        <v>0</v>
      </c>
      <c r="D75" s="62" t="s">
        <v>630</v>
      </c>
      <c r="E75" s="62" t="s">
        <v>631</v>
      </c>
    </row>
    <row r="76" spans="1:5" ht="12.75">
      <c r="A76" s="44" t="s">
        <v>802</v>
      </c>
      <c r="E76" s="44">
        <f>+PPYE!E15</f>
        <v>4922000000</v>
      </c>
    </row>
    <row r="77" spans="1:4" ht="12.75">
      <c r="A77" s="44" t="s">
        <v>30</v>
      </c>
      <c r="D77" s="44">
        <f>+E76</f>
        <v>4922000000</v>
      </c>
    </row>
    <row r="79" spans="1:4" ht="12.75">
      <c r="A79" s="44" t="s">
        <v>757</v>
      </c>
      <c r="D79" s="44">
        <f>+D77</f>
        <v>4922000000</v>
      </c>
    </row>
    <row r="80" spans="1:6" ht="12.75">
      <c r="A80" s="44" t="s">
        <v>472</v>
      </c>
      <c r="E80" s="44">
        <f>+D79</f>
        <v>4922000000</v>
      </c>
      <c r="F80" s="44" t="s">
        <v>803</v>
      </c>
    </row>
    <row r="81" ht="12.75">
      <c r="F81" s="44" t="s">
        <v>804</v>
      </c>
    </row>
    <row r="82" spans="1:5" ht="12.75">
      <c r="A82" s="44" t="s">
        <v>30</v>
      </c>
      <c r="E82" s="44">
        <f>+PPYE!H7</f>
        <v>1200000000</v>
      </c>
    </row>
    <row r="83" spans="1:4" ht="12.75">
      <c r="A83" s="44" t="s">
        <v>99</v>
      </c>
      <c r="D83" s="44">
        <f>+E82</f>
        <v>1200000000</v>
      </c>
    </row>
    <row r="86" spans="1:5" ht="12.75">
      <c r="A86" s="105" t="s">
        <v>805</v>
      </c>
      <c r="B86" s="106"/>
      <c r="C86" s="106"/>
      <c r="D86" s="106"/>
      <c r="E86" s="106"/>
    </row>
    <row r="87" spans="1:5" ht="12.75">
      <c r="A87" s="152" t="s">
        <v>0</v>
      </c>
      <c r="D87" s="62" t="s">
        <v>630</v>
      </c>
      <c r="E87" s="62" t="s">
        <v>631</v>
      </c>
    </row>
    <row r="88" spans="1:4" ht="12.75">
      <c r="A88" s="44" t="s">
        <v>30</v>
      </c>
      <c r="D88" s="44">
        <f>+PPYE!I15</f>
        <v>149307997.36103886</v>
      </c>
    </row>
    <row r="89" spans="1:5" ht="12.75">
      <c r="A89" s="44" t="s">
        <v>472</v>
      </c>
      <c r="E89" s="44">
        <f>+D88</f>
        <v>149307997.36103886</v>
      </c>
    </row>
    <row r="92" spans="1:5" ht="12.75">
      <c r="A92" s="105" t="s">
        <v>806</v>
      </c>
      <c r="B92" s="106"/>
      <c r="C92" s="106"/>
      <c r="D92" s="106"/>
      <c r="E92" s="106"/>
    </row>
    <row r="93" spans="1:5" ht="12.75">
      <c r="A93" s="152" t="s">
        <v>0</v>
      </c>
      <c r="D93" s="62" t="s">
        <v>630</v>
      </c>
      <c r="E93" s="62" t="s">
        <v>631</v>
      </c>
    </row>
    <row r="94" spans="1:5" ht="12.75">
      <c r="A94" s="44" t="s">
        <v>22</v>
      </c>
      <c r="E94" s="44">
        <f>+'Otros activos'!E9</f>
        <v>42212000</v>
      </c>
    </row>
    <row r="95" spans="1:4" ht="12.75">
      <c r="A95" s="44" t="s">
        <v>807</v>
      </c>
      <c r="D95" s="44">
        <f>+E94</f>
        <v>42212000</v>
      </c>
    </row>
    <row r="98" spans="1:5" ht="12.75">
      <c r="A98" s="105" t="s">
        <v>808</v>
      </c>
      <c r="B98" s="106"/>
      <c r="C98" s="106"/>
      <c r="D98" s="106"/>
      <c r="E98" s="106"/>
    </row>
    <row r="99" spans="1:5" ht="12.75">
      <c r="A99" s="152" t="s">
        <v>0</v>
      </c>
      <c r="D99" s="62" t="s">
        <v>630</v>
      </c>
      <c r="E99" s="62" t="s">
        <v>631</v>
      </c>
    </row>
    <row r="100" spans="1:5" ht="12.75">
      <c r="A100" s="44" t="s">
        <v>31</v>
      </c>
      <c r="E100" s="44">
        <f>+'Otros activos'!E25+'Otros activos'!E26+'Otros activos'!E28+'Otros activos'!E32+'Otros activos'!E33</f>
        <v>778706000</v>
      </c>
    </row>
    <row r="101" spans="1:4" ht="12.75">
      <c r="A101" s="44" t="s">
        <v>25</v>
      </c>
      <c r="D101" s="44">
        <f>+'Otros activos'!E25+'Otros activos'!E26</f>
        <v>200456000</v>
      </c>
    </row>
    <row r="102" spans="1:4" ht="12.75">
      <c r="A102" s="44" t="s">
        <v>30</v>
      </c>
      <c r="D102" s="44">
        <f>+'Otros activos'!E28+'Otros activos'!E32+'Otros activos'!E33</f>
        <v>578250000</v>
      </c>
    </row>
    <row r="103" ht="12.75">
      <c r="D103" s="44" t="s">
        <v>0</v>
      </c>
    </row>
    <row r="105" spans="1:5" ht="12.75">
      <c r="A105" s="105" t="s">
        <v>809</v>
      </c>
      <c r="B105" s="106"/>
      <c r="C105" s="106"/>
      <c r="D105" s="106"/>
      <c r="E105" s="106"/>
    </row>
    <row r="106" spans="1:5" ht="12.75">
      <c r="A106" s="152" t="s">
        <v>0</v>
      </c>
      <c r="D106" s="62" t="s">
        <v>630</v>
      </c>
      <c r="E106" s="62" t="s">
        <v>631</v>
      </c>
    </row>
    <row r="107" spans="1:5" ht="12.75">
      <c r="A107" s="44" t="s">
        <v>31</v>
      </c>
      <c r="E107" s="44">
        <f>+'Otros activos'!C23+'Otros activos'!C24+'Otros activos'!C27+'Otros activos'!C29+'Otros activos'!C30+'Otros activos'!C31+'Otros activos'!C34</f>
        <v>801276000</v>
      </c>
    </row>
    <row r="108" spans="1:4" ht="12.75">
      <c r="A108" s="152" t="s">
        <v>472</v>
      </c>
      <c r="D108" s="44">
        <f>+E107</f>
        <v>801276000</v>
      </c>
    </row>
    <row r="110" spans="1:5" ht="12.75">
      <c r="A110" s="105" t="s">
        <v>810</v>
      </c>
      <c r="B110" s="106"/>
      <c r="C110" s="106"/>
      <c r="D110" s="106"/>
      <c r="E110" s="106"/>
    </row>
    <row r="111" spans="1:5" ht="12.75">
      <c r="A111" s="152" t="s">
        <v>0</v>
      </c>
      <c r="D111" s="62" t="s">
        <v>630</v>
      </c>
      <c r="E111" s="62" t="s">
        <v>631</v>
      </c>
    </row>
    <row r="112" spans="1:5" ht="12.75">
      <c r="A112" s="152" t="s">
        <v>25</v>
      </c>
      <c r="E112" s="44">
        <f>+'Otros activos'!C42</f>
        <v>26000000</v>
      </c>
    </row>
    <row r="113" spans="1:4" ht="12.75">
      <c r="A113" s="152" t="s">
        <v>472</v>
      </c>
      <c r="D113" s="44">
        <f>+E112</f>
        <v>26000000</v>
      </c>
    </row>
    <row r="115" spans="1:5" ht="12.75">
      <c r="A115" s="105" t="s">
        <v>815</v>
      </c>
      <c r="B115" s="106"/>
      <c r="C115" s="106"/>
      <c r="D115" s="106"/>
      <c r="E115" s="106"/>
    </row>
    <row r="116" spans="1:5" ht="12.75">
      <c r="A116" s="152" t="s">
        <v>0</v>
      </c>
      <c r="D116" s="62" t="s">
        <v>630</v>
      </c>
      <c r="E116" s="62" t="s">
        <v>631</v>
      </c>
    </row>
    <row r="117" spans="1:4" ht="12.75">
      <c r="A117" s="152" t="s">
        <v>30</v>
      </c>
      <c r="D117" s="44">
        <f>+arrendamiento!C62</f>
        <v>126666666.66666627</v>
      </c>
    </row>
    <row r="118" spans="1:8" ht="12.75">
      <c r="A118" s="152" t="s">
        <v>816</v>
      </c>
      <c r="E118" s="44">
        <f>+arrendamiento!D41</f>
        <v>141186794.916614</v>
      </c>
      <c r="F118" s="152" t="s">
        <v>817</v>
      </c>
      <c r="H118" s="44">
        <f>+arrendamiento!C60</f>
        <v>253333333.33333254</v>
      </c>
    </row>
    <row r="119" spans="1:8" ht="12.75">
      <c r="A119" s="152" t="s">
        <v>800</v>
      </c>
      <c r="D119" s="44">
        <f>+E118-D117</f>
        <v>14520128.249947727</v>
      </c>
      <c r="F119" s="152" t="s">
        <v>818</v>
      </c>
      <c r="H119" s="44">
        <f>+SUM(arrendamiento!C18:C41)</f>
        <v>61186794.916614</v>
      </c>
    </row>
    <row r="120" spans="6:8" ht="12.75">
      <c r="F120" s="152" t="s">
        <v>819</v>
      </c>
      <c r="H120" s="44">
        <f>-SUM(arrendamiento!B18:B41)</f>
        <v>-300000000</v>
      </c>
    </row>
    <row r="121" spans="6:8" ht="12.75">
      <c r="F121" s="62" t="s">
        <v>820</v>
      </c>
      <c r="G121" s="62"/>
      <c r="H121" s="62">
        <f>+SUM(H118:H120)</f>
        <v>14520128.249946535</v>
      </c>
    </row>
    <row r="123" spans="1:5" ht="12.75">
      <c r="A123" s="105" t="s">
        <v>827</v>
      </c>
      <c r="B123" s="106"/>
      <c r="C123" s="106"/>
      <c r="D123" s="106"/>
      <c r="E123" s="106"/>
    </row>
    <row r="124" spans="1:5" ht="12.75">
      <c r="A124" s="152" t="s">
        <v>0</v>
      </c>
      <c r="D124" s="62" t="s">
        <v>630</v>
      </c>
      <c r="E124" s="62" t="s">
        <v>631</v>
      </c>
    </row>
    <row r="125" spans="1:4" ht="12.75">
      <c r="A125" s="152" t="s">
        <v>828</v>
      </c>
      <c r="D125" s="44">
        <f>-Pasivos!D10</f>
        <v>44763884.72125435</v>
      </c>
    </row>
    <row r="126" spans="1:5" ht="12.75">
      <c r="A126" s="152" t="s">
        <v>472</v>
      </c>
      <c r="E126" s="44">
        <f>+D125</f>
        <v>44763884.72125435</v>
      </c>
    </row>
    <row r="128" spans="1:5" ht="12.75">
      <c r="A128" s="105" t="s">
        <v>829</v>
      </c>
      <c r="B128" s="106"/>
      <c r="C128" s="106"/>
      <c r="D128" s="106"/>
      <c r="E128" s="106"/>
    </row>
    <row r="129" spans="1:5" ht="12.75">
      <c r="A129" s="152" t="s">
        <v>0</v>
      </c>
      <c r="D129" s="62" t="s">
        <v>630</v>
      </c>
      <c r="E129" s="62" t="s">
        <v>631</v>
      </c>
    </row>
    <row r="130" spans="1:4" ht="12.75">
      <c r="A130" s="152" t="s">
        <v>830</v>
      </c>
      <c r="B130" s="152"/>
      <c r="D130" s="44">
        <f>+Pasivos!C27</f>
        <v>125600000</v>
      </c>
    </row>
    <row r="131" spans="1:5" ht="12.75">
      <c r="A131" s="152" t="s">
        <v>831</v>
      </c>
      <c r="B131" s="152"/>
      <c r="E131" s="44">
        <f>+D130</f>
        <v>125600000</v>
      </c>
    </row>
    <row r="134" spans="1:5" ht="12.75">
      <c r="A134" s="105" t="s">
        <v>864</v>
      </c>
      <c r="B134" s="106"/>
      <c r="C134" s="106"/>
      <c r="D134" s="106"/>
      <c r="E134" s="106"/>
    </row>
    <row r="135" spans="1:5" ht="12.75">
      <c r="A135" s="152" t="s">
        <v>0</v>
      </c>
      <c r="D135" s="62" t="s">
        <v>630</v>
      </c>
      <c r="E135" s="62" t="s">
        <v>631</v>
      </c>
    </row>
    <row r="136" spans="1:5" ht="12.75">
      <c r="A136" s="152" t="s">
        <v>865</v>
      </c>
      <c r="E136" s="44">
        <f>+Pasivos!D36</f>
        <v>35936721.03408055</v>
      </c>
    </row>
    <row r="137" spans="1:4" ht="12.75">
      <c r="A137" s="152" t="s">
        <v>472</v>
      </c>
      <c r="D137" s="44">
        <f>+E136</f>
        <v>35936721.03408055</v>
      </c>
    </row>
    <row r="140" spans="1:5" ht="12.75">
      <c r="A140" s="105" t="s">
        <v>873</v>
      </c>
      <c r="B140" s="106"/>
      <c r="C140" s="106"/>
      <c r="D140" s="106"/>
      <c r="E140" s="106"/>
    </row>
    <row r="141" spans="1:5" ht="12.75">
      <c r="A141" s="152" t="s">
        <v>0</v>
      </c>
      <c r="D141" s="62" t="s">
        <v>630</v>
      </c>
      <c r="E141" s="62" t="s">
        <v>631</v>
      </c>
    </row>
    <row r="142" spans="1:4" ht="12.75">
      <c r="A142" s="44" t="s">
        <v>71</v>
      </c>
      <c r="D142" s="44">
        <f>-Pasivos!D52</f>
        <v>145967371.4152633</v>
      </c>
    </row>
    <row r="143" spans="1:5" ht="12.75">
      <c r="A143" s="44" t="s">
        <v>472</v>
      </c>
      <c r="E143" s="44">
        <f>+D142</f>
        <v>145967371.4152633</v>
      </c>
    </row>
    <row r="146" spans="1:5" ht="12.75">
      <c r="A146" s="105" t="s">
        <v>881</v>
      </c>
      <c r="B146" s="106"/>
      <c r="C146" s="106"/>
      <c r="D146" s="106"/>
      <c r="E146" s="106"/>
    </row>
    <row r="147" spans="1:5" ht="12.75">
      <c r="A147" s="152" t="s">
        <v>0</v>
      </c>
      <c r="D147" s="62" t="s">
        <v>630</v>
      </c>
      <c r="E147" s="62" t="s">
        <v>631</v>
      </c>
    </row>
    <row r="148" spans="1:4" ht="12.75">
      <c r="A148" s="44" t="s">
        <v>63</v>
      </c>
      <c r="D148" s="44">
        <f>-Patrimonio!C6</f>
        <v>750000000</v>
      </c>
    </row>
    <row r="149" spans="1:5" ht="12.75">
      <c r="A149" s="44" t="s">
        <v>882</v>
      </c>
      <c r="E149" s="44">
        <f>+D148</f>
        <v>750000000</v>
      </c>
    </row>
    <row r="151" spans="1:5" ht="12.75">
      <c r="A151" s="44" t="s">
        <v>883</v>
      </c>
      <c r="E151" s="44">
        <f>+Patrimonio!B23*30</f>
        <v>22500000</v>
      </c>
    </row>
    <row r="152" spans="1:4" ht="12.75">
      <c r="A152" s="44" t="s">
        <v>472</v>
      </c>
      <c r="D152" s="44">
        <f>+E151</f>
        <v>22500000</v>
      </c>
    </row>
    <row r="155" spans="1:5" ht="12.75">
      <c r="A155" s="105" t="s">
        <v>884</v>
      </c>
      <c r="B155" s="106"/>
      <c r="C155" s="106"/>
      <c r="D155" s="106"/>
      <c r="E155" s="106"/>
    </row>
    <row r="156" spans="1:5" ht="12.75">
      <c r="A156" s="152" t="s">
        <v>0</v>
      </c>
      <c r="D156" s="62" t="s">
        <v>630</v>
      </c>
      <c r="E156" s="62" t="s">
        <v>631</v>
      </c>
    </row>
    <row r="157" spans="1:4" ht="12.75">
      <c r="A157" s="44" t="s">
        <v>885</v>
      </c>
      <c r="D157" s="44">
        <f>+Patrimonio!B7</f>
        <v>650256000</v>
      </c>
    </row>
    <row r="158" spans="1:4" ht="12.75">
      <c r="A158" s="44" t="s">
        <v>886</v>
      </c>
      <c r="D158" s="44">
        <f>+Patrimonio!B13</f>
        <v>152600000</v>
      </c>
    </row>
    <row r="159" spans="1:5" ht="12.75">
      <c r="A159" s="44" t="s">
        <v>472</v>
      </c>
      <c r="E159" s="44">
        <f>+D157+D158</f>
        <v>802856000</v>
      </c>
    </row>
    <row r="162" spans="1:5" ht="12.75">
      <c r="A162" s="105" t="s">
        <v>894</v>
      </c>
      <c r="B162" s="106"/>
      <c r="C162" s="106"/>
      <c r="D162" s="106"/>
      <c r="E162" s="106"/>
    </row>
    <row r="163" spans="1:5" ht="12.75">
      <c r="A163" s="152" t="s">
        <v>0</v>
      </c>
      <c r="D163" s="62" t="s">
        <v>630</v>
      </c>
      <c r="E163" s="62" t="s">
        <v>631</v>
      </c>
    </row>
    <row r="164" spans="1:5" ht="12.75">
      <c r="A164" s="44" t="s">
        <v>895</v>
      </c>
      <c r="E164" s="44">
        <f>-'Imp diferidos'!F37-'Imp diferidos'!G37</f>
        <v>401437873.20271957</v>
      </c>
    </row>
    <row r="165" spans="1:4" ht="12.75">
      <c r="A165" s="44" t="s">
        <v>472</v>
      </c>
      <c r="D165" s="44">
        <f>+E164</f>
        <v>401437873.20271957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130" zoomScaleNormal="130" zoomScalePageLayoutView="0" workbookViewId="0" topLeftCell="A1">
      <pane ySplit="1" topLeftCell="A25" activePane="bottomLeft" state="frozen"/>
      <selection pane="topLeft" activeCell="A1" sqref="A1"/>
      <selection pane="bottomLeft" activeCell="B41" sqref="B41"/>
    </sheetView>
  </sheetViews>
  <sheetFormatPr defaultColWidth="11.421875" defaultRowHeight="12.75" outlineLevelRow="1"/>
  <cols>
    <col min="1" max="1" width="7.140625" style="196" customWidth="1"/>
    <col min="2" max="2" width="66.421875" style="196" customWidth="1"/>
    <col min="3" max="3" width="25.8515625" style="197" customWidth="1"/>
    <col min="4" max="4" width="20.00390625" style="196" bestFit="1" customWidth="1"/>
    <col min="5" max="5" width="15.28125" style="196" customWidth="1"/>
    <col min="6" max="16384" width="11.421875" style="196" customWidth="1"/>
  </cols>
  <sheetData>
    <row r="1" spans="1:6" s="195" customFormat="1" ht="48.75" customHeight="1">
      <c r="A1" s="81"/>
      <c r="B1" s="81" t="s">
        <v>170</v>
      </c>
      <c r="C1" s="81" t="s">
        <v>171</v>
      </c>
      <c r="E1" s="81"/>
      <c r="F1" s="81"/>
    </row>
    <row r="3" ht="15.75">
      <c r="A3" s="194" t="s">
        <v>617</v>
      </c>
    </row>
    <row r="4" spans="1:3" s="200" customFormat="1" ht="15.75">
      <c r="A4" s="198"/>
      <c r="B4" s="198"/>
      <c r="C4" s="199"/>
    </row>
    <row r="5" spans="1:3" ht="15.75" outlineLevel="1">
      <c r="A5" s="201" t="s">
        <v>38</v>
      </c>
      <c r="B5" s="201" t="s">
        <v>39</v>
      </c>
      <c r="C5" s="201" t="s">
        <v>44</v>
      </c>
    </row>
    <row r="6" spans="1:3" ht="10.5" customHeight="1" outlineLevel="1">
      <c r="A6" s="198"/>
      <c r="B6" s="198"/>
      <c r="C6" s="199"/>
    </row>
    <row r="7" spans="1:3" ht="16.5" customHeight="1" outlineLevel="1">
      <c r="A7" s="198"/>
      <c r="B7" s="202" t="s">
        <v>619</v>
      </c>
      <c r="C7" s="203"/>
    </row>
    <row r="8" spans="1:3" ht="15.75" outlineLevel="1">
      <c r="A8" s="198"/>
      <c r="B8" s="204" t="s">
        <v>43</v>
      </c>
      <c r="C8" s="205">
        <f>+'Balance 01012014'!B39</f>
        <v>11659286803.7</v>
      </c>
    </row>
    <row r="9" spans="1:3" ht="15.75" outlineLevel="1">
      <c r="A9" s="198"/>
      <c r="B9" s="198"/>
      <c r="C9" s="199"/>
    </row>
    <row r="10" spans="1:4" ht="40.5" customHeight="1" outlineLevel="1">
      <c r="A10" s="206"/>
      <c r="B10" s="207" t="str">
        <f>+Ajustes!A18</f>
        <v>NC 2- remedición de inversiones en subsidiarias por su costo</v>
      </c>
      <c r="C10" s="208">
        <f>-Ajustes!D21</f>
        <v>-200000000</v>
      </c>
      <c r="D10" s="209">
        <f>+C10/$C$8</f>
        <v>-0.017153707886877888</v>
      </c>
    </row>
    <row r="11" spans="1:4" ht="40.5" customHeight="1" outlineLevel="1">
      <c r="A11" s="206"/>
      <c r="B11" s="207" t="str">
        <f>+Ajustes!A37</f>
        <v>NC 5- reconocimiento de derivados financieros - swap non delivery</v>
      </c>
      <c r="C11" s="208">
        <f>-Ajustes!D40</f>
        <v>-22000000</v>
      </c>
      <c r="D11" s="209">
        <f aca="true" t="shared" si="0" ref="D11:D24">+C11/$C$8</f>
        <v>-0.0018869078675565678</v>
      </c>
    </row>
    <row r="12" spans="1:4" ht="40.5" customHeight="1" outlineLevel="1">
      <c r="A12" s="206"/>
      <c r="B12" s="207" t="str">
        <f>+Ajustes!A49</f>
        <v>NC 7- remedición de préstamos a empleados, usando una tasa de mercado</v>
      </c>
      <c r="C12" s="208">
        <f>-Ajustes!D52</f>
        <v>-4714029.6635892615</v>
      </c>
      <c r="D12" s="209">
        <f t="shared" si="0"/>
        <v>-0.0004043154390964372</v>
      </c>
    </row>
    <row r="13" spans="1:4" ht="40.5" customHeight="1" outlineLevel="1">
      <c r="A13" s="206"/>
      <c r="B13" s="207" t="str">
        <f>+Ajustes!A54</f>
        <v>NC 8- remedición del deterioro de cuentas por cobrar</v>
      </c>
      <c r="C13" s="208">
        <f>+Ajustes!E57</f>
        <v>26695081.401576392</v>
      </c>
      <c r="D13" s="209">
        <f t="shared" si="0"/>
        <v>0.0022895981418953413</v>
      </c>
    </row>
    <row r="14" spans="1:4" ht="40.5" customHeight="1" outlineLevel="1">
      <c r="A14" s="206"/>
      <c r="B14" s="207" t="str">
        <f>+Ajustes!A60</f>
        <v>NC 9- remedición del inventario al menor entre el costo y el VNR</v>
      </c>
      <c r="C14" s="208">
        <f>-Ajustes!D63</f>
        <v>-9952000</v>
      </c>
      <c r="D14" s="209">
        <f t="shared" si="0"/>
        <v>-0.0008535685044510437</v>
      </c>
    </row>
    <row r="15" spans="1:4" ht="40.5" customHeight="1" outlineLevel="1">
      <c r="A15" s="206"/>
      <c r="B15" s="207" t="str">
        <f>+Ajustes!A65</f>
        <v>NC 10- reclasificación y remedición de activos biológicos, por su valor razonable </v>
      </c>
      <c r="C15" s="208">
        <f>+Ajustes!E71</f>
        <v>53101177</v>
      </c>
      <c r="D15" s="209">
        <f t="shared" si="0"/>
        <v>0.004554410393536994</v>
      </c>
    </row>
    <row r="16" spans="1:4" ht="40.5" customHeight="1" outlineLevel="1">
      <c r="A16" s="206"/>
      <c r="B16" s="207" t="str">
        <f>+Ajustes!A86</f>
        <v>NC 12- remedición de propiedad, planta y equipo de acuerdo a las vidas útiles establecidas</v>
      </c>
      <c r="C16" s="208">
        <f>+Ajustes!E89</f>
        <v>149307997.36103886</v>
      </c>
      <c r="D16" s="209">
        <f t="shared" si="0"/>
        <v>0.012805928859529978</v>
      </c>
    </row>
    <row r="17" spans="1:4" ht="40.5" customHeight="1" outlineLevel="1">
      <c r="A17" s="206"/>
      <c r="B17" s="207" t="str">
        <f>+Ajustes!A105</f>
        <v>NC 15- desreconocimiento de cargos diferidos</v>
      </c>
      <c r="C17" s="208">
        <f>-Ajustes!D108</f>
        <v>-801276000</v>
      </c>
      <c r="D17" s="209">
        <f t="shared" si="0"/>
        <v>-0.06872427220382984</v>
      </c>
    </row>
    <row r="18" spans="1:4" ht="40.5" customHeight="1" outlineLevel="1">
      <c r="A18" s="206"/>
      <c r="B18" s="207" t="str">
        <f>+Ajustes!A110</f>
        <v>NC 16- desreconocimiento de intangibles por marcas generadas internamente</v>
      </c>
      <c r="C18" s="208">
        <f>-Ajustes!D113</f>
        <v>-26000000</v>
      </c>
      <c r="D18" s="209">
        <f t="shared" si="0"/>
        <v>-0.0022299820252941254</v>
      </c>
    </row>
    <row r="19" spans="1:4" ht="40.5" customHeight="1" outlineLevel="1">
      <c r="A19" s="206"/>
      <c r="B19" s="207" t="str">
        <f>+Ajustes!A115</f>
        <v>NC 17- reconocimiento de contratos de arrendamiento financiero</v>
      </c>
      <c r="C19" s="208">
        <f>-Ajustes!D119</f>
        <v>-14520128.249947727</v>
      </c>
      <c r="D19" s="209">
        <f t="shared" si="0"/>
        <v>-0.001245370192398034</v>
      </c>
    </row>
    <row r="20" spans="1:4" ht="40.5" customHeight="1" outlineLevel="1">
      <c r="A20" s="206"/>
      <c r="B20" s="207" t="str">
        <f>+Ajustes!A123</f>
        <v>NC 18- remedición de pasivos financieros al costo amortizado por el método de la tasa efectiva</v>
      </c>
      <c r="C20" s="208">
        <f>+Ajustes!E126</f>
        <v>44763884.72125435</v>
      </c>
      <c r="D20" s="209">
        <f t="shared" si="0"/>
        <v>0.003839333011951367</v>
      </c>
    </row>
    <row r="21" spans="1:4" ht="40.5" customHeight="1" outlineLevel="1">
      <c r="A21" s="206"/>
      <c r="B21" s="207" t="str">
        <f>+Ajustes!A134</f>
        <v>NC 20- remedición  de cuentas por pagar por beneficios a los empleados</v>
      </c>
      <c r="C21" s="208">
        <f>-Ajustes!D137</f>
        <v>-35936721.03408055</v>
      </c>
      <c r="D21" s="209">
        <f t="shared" si="0"/>
        <v>-0.00308224007515419</v>
      </c>
    </row>
    <row r="22" spans="1:4" ht="40.5" customHeight="1" outlineLevel="1">
      <c r="A22" s="206"/>
      <c r="B22" s="207" t="str">
        <f>+Ajustes!A140</f>
        <v>NC 21- remedición  de pasivos por provisiones</v>
      </c>
      <c r="C22" s="208">
        <f>+Ajustes!E143</f>
        <v>145967371.4152633</v>
      </c>
      <c r="D22" s="209"/>
    </row>
    <row r="23" spans="1:4" ht="40.5" customHeight="1" outlineLevel="1">
      <c r="A23" s="206"/>
      <c r="B23" s="207" t="str">
        <f>+Ajustes!A146</f>
        <v>NC 22- reclasificación de patrimonio por acciones preferenciales como una partida del pasivo</v>
      </c>
      <c r="C23" s="208">
        <f>-Ajustes!D148-Ajustes!D152</f>
        <v>-772500000</v>
      </c>
      <c r="D23" s="209"/>
    </row>
    <row r="24" spans="1:4" ht="27.75" customHeight="1" outlineLevel="1">
      <c r="A24" s="206"/>
      <c r="B24" s="207" t="str">
        <f>+Ajustes!A162</f>
        <v>NC 24- reconocimiento de impuestos diferidos</v>
      </c>
      <c r="C24" s="208">
        <f>-Ajustes!D165</f>
        <v>-401437873.20271957</v>
      </c>
      <c r="D24" s="209">
        <f t="shared" si="0"/>
        <v>-0.03443074005824488</v>
      </c>
    </row>
    <row r="25" ht="15" outlineLevel="1"/>
    <row r="26" spans="2:4" ht="15.75" outlineLevel="1">
      <c r="B26" s="210" t="s">
        <v>167</v>
      </c>
      <c r="C26" s="211">
        <f>SUM(C10:C25)</f>
        <v>-1868501240.2512045</v>
      </c>
      <c r="D26" s="212"/>
    </row>
    <row r="27" ht="15" outlineLevel="1"/>
    <row r="28" spans="2:3" ht="15.75" outlineLevel="1">
      <c r="B28" s="202" t="s">
        <v>620</v>
      </c>
      <c r="C28" s="213"/>
    </row>
    <row r="29" spans="2:3" ht="15.75" outlineLevel="1">
      <c r="B29" s="204" t="s">
        <v>146</v>
      </c>
      <c r="C29" s="214">
        <f>+C26+C8</f>
        <v>9790785563.448795</v>
      </c>
    </row>
    <row r="30" ht="15" outlineLevel="1"/>
    <row r="31" ht="15" outlineLevel="1">
      <c r="C31" s="197">
        <f>+'Balance 01012014'!F39</f>
        <v>9790785563.448795</v>
      </c>
    </row>
    <row r="32" spans="3:4" ht="15" outlineLevel="1">
      <c r="C32" s="215">
        <f>+C29-C31</f>
        <v>0</v>
      </c>
      <c r="D32" s="196" t="s">
        <v>896</v>
      </c>
    </row>
    <row r="33" ht="15" outlineLevel="1">
      <c r="D33" s="196" t="s">
        <v>897</v>
      </c>
    </row>
    <row r="34" ht="15" outlineLevel="1"/>
    <row r="35" spans="2:3" ht="15.75" outlineLevel="1">
      <c r="B35" s="194" t="s">
        <v>285</v>
      </c>
      <c r="C35" s="216">
        <f>+C26/C8</f>
        <v>-0.16025862230769103</v>
      </c>
    </row>
    <row r="36" ht="15" outlineLevel="1"/>
    <row r="37" ht="15">
      <c r="B37" s="196" t="s">
        <v>594</v>
      </c>
    </row>
    <row r="38" spans="2:3" ht="15">
      <c r="B38" s="196" t="s">
        <v>898</v>
      </c>
      <c r="C38" s="197">
        <f>+'Balance 01012014'!B37/'Balance 01012014'!B22</f>
        <v>0.24848618116929308</v>
      </c>
    </row>
    <row r="39" spans="2:3" ht="15">
      <c r="B39" s="196" t="s">
        <v>899</v>
      </c>
      <c r="C39" s="197">
        <f>+'Balance 01012014'!F37/'Balance 01012014'!F22</f>
        <v>0.3397198734859733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160" zoomScaleNormal="160" zoomScalePageLayoutView="0" workbookViewId="0" topLeftCell="A1">
      <pane ySplit="1" topLeftCell="A10" activePane="bottomLeft" state="frozen"/>
      <selection pane="topLeft" activeCell="A1" sqref="A1"/>
      <selection pane="bottomLeft" activeCell="B19" sqref="B19"/>
    </sheetView>
  </sheetViews>
  <sheetFormatPr defaultColWidth="11.421875" defaultRowHeight="12.75"/>
  <cols>
    <col min="1" max="1" width="9.57421875" style="16" customWidth="1"/>
    <col min="2" max="2" width="30.421875" style="16" customWidth="1"/>
    <col min="3" max="3" width="18.140625" style="16" customWidth="1"/>
    <col min="4" max="4" width="21.00390625" style="16" customWidth="1"/>
    <col min="5" max="5" width="18.57421875" style="16" customWidth="1"/>
    <col min="6" max="9" width="15.28125" style="16" customWidth="1"/>
    <col min="10" max="10" width="19.57421875" style="16" bestFit="1" customWidth="1"/>
    <col min="11" max="13" width="15.28125" style="16" customWidth="1"/>
    <col min="14" max="14" width="11.421875" style="16" customWidth="1"/>
    <col min="15" max="15" width="16.00390625" style="16" customWidth="1"/>
    <col min="16" max="16" width="15.57421875" style="16" bestFit="1" customWidth="1"/>
    <col min="17" max="16384" width="11.421875" style="16" customWidth="1"/>
  </cols>
  <sheetData>
    <row r="1" spans="1:3" s="79" customFormat="1" ht="55.5" customHeight="1">
      <c r="A1" s="81" t="s">
        <v>170</v>
      </c>
      <c r="B1" s="80"/>
      <c r="C1" s="81" t="s">
        <v>171</v>
      </c>
    </row>
    <row r="2" ht="14.25"/>
    <row r="3" spans="2:4" ht="15">
      <c r="B3" s="25" t="s">
        <v>176</v>
      </c>
      <c r="D3" s="16" t="s">
        <v>622</v>
      </c>
    </row>
    <row r="5" spans="1:5" ht="15">
      <c r="A5" s="66" t="s">
        <v>147</v>
      </c>
      <c r="B5" s="66" t="s">
        <v>224</v>
      </c>
      <c r="C5" s="67"/>
      <c r="D5" s="67"/>
      <c r="E5" s="67"/>
    </row>
    <row r="6" spans="1:5" ht="15">
      <c r="A6" s="68"/>
      <c r="B6" s="69" t="s">
        <v>1</v>
      </c>
      <c r="C6" s="70" t="s">
        <v>64</v>
      </c>
      <c r="D6" s="70" t="s">
        <v>37</v>
      </c>
      <c r="E6" s="70" t="s">
        <v>145</v>
      </c>
    </row>
    <row r="7" spans="1:5" ht="14.25">
      <c r="A7" s="7">
        <v>111005</v>
      </c>
      <c r="B7" s="7" t="s">
        <v>168</v>
      </c>
      <c r="C7" s="6">
        <v>15265000</v>
      </c>
      <c r="D7" s="6"/>
      <c r="E7" s="6">
        <f>+C7+D7</f>
        <v>15265000</v>
      </c>
    </row>
    <row r="8" spans="1:5" ht="14.25">
      <c r="A8" s="7"/>
      <c r="B8" s="7" t="s">
        <v>322</v>
      </c>
      <c r="C8" s="6"/>
      <c r="D8" s="6"/>
      <c r="E8" s="6">
        <f>+C8+D8</f>
        <v>0</v>
      </c>
    </row>
    <row r="9" spans="1:5" ht="14.25">
      <c r="A9" s="7">
        <v>111005</v>
      </c>
      <c r="B9" s="7" t="s">
        <v>169</v>
      </c>
      <c r="C9" s="6">
        <v>112563000</v>
      </c>
      <c r="D9" s="6"/>
      <c r="E9" s="6">
        <f>+C9+D9</f>
        <v>112563000</v>
      </c>
    </row>
    <row r="10" spans="1:5" ht="14.25">
      <c r="A10" s="7">
        <v>111510</v>
      </c>
      <c r="B10" s="7" t="s">
        <v>540</v>
      </c>
      <c r="C10" s="6">
        <v>62300000</v>
      </c>
      <c r="D10" s="6"/>
      <c r="E10" s="6">
        <f>+C10+D10</f>
        <v>62300000</v>
      </c>
    </row>
    <row r="11" spans="1:8" ht="15">
      <c r="A11" s="7">
        <v>11</v>
      </c>
      <c r="B11" s="11" t="s">
        <v>129</v>
      </c>
      <c r="C11" s="8">
        <f>SUM(C7:C10)</f>
        <v>190128000</v>
      </c>
      <c r="D11" s="8">
        <f>SUM(D7:D10)</f>
        <v>0</v>
      </c>
      <c r="E11" s="8">
        <f>SUM(E7:E10)</f>
        <v>190128000</v>
      </c>
      <c r="H11" s="16" t="s">
        <v>0</v>
      </c>
    </row>
    <row r="12" spans="3:8" ht="14.25">
      <c r="C12" s="33"/>
      <c r="D12" s="33"/>
      <c r="H12" s="16" t="s">
        <v>0</v>
      </c>
    </row>
    <row r="13" spans="5:8" ht="15">
      <c r="E13" s="140">
        <f>+'Balance 01012014'!F6</f>
        <v>322654364</v>
      </c>
      <c r="H13" s="16" t="s">
        <v>0</v>
      </c>
    </row>
    <row r="14" ht="15">
      <c r="A14" s="25" t="s">
        <v>260</v>
      </c>
    </row>
    <row r="15" ht="14.25">
      <c r="B15" s="16" t="s">
        <v>276</v>
      </c>
    </row>
    <row r="16" ht="14.25">
      <c r="B16" s="16" t="s">
        <v>277</v>
      </c>
    </row>
    <row r="17" ht="14.25">
      <c r="B17" s="16" t="s">
        <v>261</v>
      </c>
    </row>
    <row r="20" ht="15">
      <c r="A20" s="25" t="s">
        <v>262</v>
      </c>
    </row>
    <row r="21" ht="14.25">
      <c r="B21" s="16" t="s">
        <v>263</v>
      </c>
    </row>
    <row r="22" ht="14.25">
      <c r="B22" s="16" t="s">
        <v>264</v>
      </c>
    </row>
  </sheetData>
  <sheetProtection/>
  <printOptions/>
  <pageMargins left="0.3937007874015748" right="0.3937007874015748" top="0.3937007874015748" bottom="0.3937007874015748" header="0" footer="0"/>
  <pageSetup horizontalDpi="120" verticalDpi="12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="160" zoomScaleNormal="160" zoomScalePageLayoutView="0" workbookViewId="0" topLeftCell="A1">
      <pane ySplit="1" topLeftCell="A6" activePane="bottomLeft" state="frozen"/>
      <selection pane="topLeft" activeCell="A1" sqref="A1"/>
      <selection pane="bottomLeft" activeCell="A34" sqref="A34"/>
    </sheetView>
  </sheetViews>
  <sheetFormatPr defaultColWidth="11.421875" defaultRowHeight="12.75"/>
  <cols>
    <col min="1" max="1" width="11.421875" style="2" customWidth="1"/>
    <col min="2" max="2" width="34.140625" style="2" customWidth="1"/>
    <col min="3" max="3" width="19.28125" style="13" customWidth="1"/>
    <col min="4" max="4" width="21.7109375" style="13" customWidth="1"/>
    <col min="5" max="5" width="20.28125" style="13" customWidth="1"/>
    <col min="6" max="6" width="25.140625" style="2" customWidth="1"/>
    <col min="7" max="7" width="23.140625" style="2" customWidth="1"/>
    <col min="8" max="8" width="16.140625" style="2" customWidth="1"/>
    <col min="9" max="9" width="19.28125" style="2" customWidth="1"/>
    <col min="10" max="10" width="17.28125" style="2" customWidth="1"/>
    <col min="11" max="11" width="14.00390625" style="2" customWidth="1"/>
    <col min="12" max="16384" width="11.421875" style="2" customWidth="1"/>
  </cols>
  <sheetData>
    <row r="1" spans="1:3" s="79" customFormat="1" ht="55.5" customHeight="1">
      <c r="A1" s="81" t="s">
        <v>170</v>
      </c>
      <c r="B1" s="80"/>
      <c r="C1" s="81" t="s">
        <v>171</v>
      </c>
    </row>
    <row r="2" ht="14.25"/>
    <row r="3" ht="15">
      <c r="A3" s="25" t="s">
        <v>182</v>
      </c>
    </row>
    <row r="4" spans="3:13" ht="14.25">
      <c r="C4" s="13" t="s">
        <v>737</v>
      </c>
      <c r="D4" s="13" t="s">
        <v>741</v>
      </c>
      <c r="F4" s="2" t="s">
        <v>746</v>
      </c>
      <c r="H4" s="2" t="s">
        <v>749</v>
      </c>
      <c r="M4" s="151"/>
    </row>
    <row r="5" spans="2:8" ht="15">
      <c r="B5" s="1" t="s">
        <v>148</v>
      </c>
      <c r="C5" s="13" t="s">
        <v>738</v>
      </c>
      <c r="D5" s="13" t="s">
        <v>742</v>
      </c>
      <c r="F5" s="2" t="s">
        <v>747</v>
      </c>
      <c r="H5" s="2" t="s">
        <v>750</v>
      </c>
    </row>
    <row r="6" spans="3:8" ht="14.25">
      <c r="C6" s="13" t="s">
        <v>739</v>
      </c>
      <c r="D6" s="13" t="s">
        <v>743</v>
      </c>
      <c r="F6" s="2" t="s">
        <v>747</v>
      </c>
      <c r="H6" s="2" t="s">
        <v>750</v>
      </c>
    </row>
    <row r="7" spans="3:17" ht="14.25">
      <c r="C7" s="13" t="s">
        <v>740</v>
      </c>
      <c r="D7" s="150" t="s">
        <v>744</v>
      </c>
      <c r="E7" s="150"/>
      <c r="F7" s="2" t="s">
        <v>748</v>
      </c>
      <c r="H7" s="2" t="s">
        <v>750</v>
      </c>
      <c r="J7" s="13"/>
      <c r="Q7" s="149"/>
    </row>
    <row r="8" spans="3:8" ht="14.25">
      <c r="C8" s="13" t="s">
        <v>622</v>
      </c>
      <c r="D8" s="13" t="s">
        <v>745</v>
      </c>
      <c r="F8" s="2" t="s">
        <v>623</v>
      </c>
      <c r="H8" s="2" t="s">
        <v>750</v>
      </c>
    </row>
    <row r="9" spans="1:10" ht="15">
      <c r="A9" s="1" t="s">
        <v>184</v>
      </c>
      <c r="J9" s="13"/>
    </row>
    <row r="10" spans="1:12" ht="15">
      <c r="A10" s="69" t="s">
        <v>147</v>
      </c>
      <c r="B10" s="83" t="s">
        <v>1</v>
      </c>
      <c r="C10" s="83" t="s">
        <v>627</v>
      </c>
      <c r="D10" s="83" t="s">
        <v>234</v>
      </c>
      <c r="E10" s="83" t="s">
        <v>512</v>
      </c>
      <c r="F10" s="83" t="s">
        <v>233</v>
      </c>
      <c r="G10" s="13"/>
      <c r="L10" s="188"/>
    </row>
    <row r="11" spans="1:7" ht="14.25">
      <c r="A11" s="5" t="s">
        <v>541</v>
      </c>
      <c r="B11" s="5" t="s">
        <v>538</v>
      </c>
      <c r="C11" s="6">
        <f>+E11+D11</f>
        <v>325052000</v>
      </c>
      <c r="D11" s="6">
        <v>12526000</v>
      </c>
      <c r="E11" s="6">
        <v>312526000</v>
      </c>
      <c r="F11" s="5" t="s">
        <v>624</v>
      </c>
      <c r="G11" s="2" t="s">
        <v>622</v>
      </c>
    </row>
    <row r="12" spans="1:11" ht="14.25">
      <c r="A12" s="5" t="s">
        <v>541</v>
      </c>
      <c r="B12" s="5" t="s">
        <v>539</v>
      </c>
      <c r="C12" s="6">
        <f>+E12+D12</f>
        <v>2156000000</v>
      </c>
      <c r="D12" s="6">
        <v>0</v>
      </c>
      <c r="E12" s="6">
        <v>2156000000</v>
      </c>
      <c r="F12" s="5" t="s">
        <v>625</v>
      </c>
      <c r="G12" s="2" t="s">
        <v>622</v>
      </c>
      <c r="J12" s="13"/>
      <c r="K12" s="13"/>
    </row>
    <row r="13" spans="1:11" ht="14.25">
      <c r="A13" s="5" t="s">
        <v>541</v>
      </c>
      <c r="B13" s="5" t="s">
        <v>273</v>
      </c>
      <c r="C13" s="6">
        <f>+E13+D13</f>
        <v>1806700000</v>
      </c>
      <c r="D13" s="6">
        <v>56700000</v>
      </c>
      <c r="E13" s="6">
        <v>1750000000</v>
      </c>
      <c r="F13" s="5" t="s">
        <v>626</v>
      </c>
      <c r="G13" s="2" t="s">
        <v>737</v>
      </c>
      <c r="J13" s="13"/>
      <c r="K13" s="13"/>
    </row>
    <row r="14" spans="1:13" ht="15">
      <c r="A14" s="68">
        <v>1205</v>
      </c>
      <c r="B14" s="84" t="s">
        <v>78</v>
      </c>
      <c r="C14" s="76">
        <f>SUM(C11:C13)</f>
        <v>4287752000</v>
      </c>
      <c r="D14" s="76">
        <f>SUM(D11:D13)</f>
        <v>69226000</v>
      </c>
      <c r="E14" s="76">
        <f>SUM(E11:E13)</f>
        <v>4218526000</v>
      </c>
      <c r="J14" s="188"/>
      <c r="K14" s="13"/>
      <c r="M14" s="13"/>
    </row>
    <row r="15" spans="1:13" s="16" customFormat="1" ht="15">
      <c r="A15" s="29"/>
      <c r="B15" s="164"/>
      <c r="C15" s="27"/>
      <c r="D15" s="27"/>
      <c r="E15" s="27"/>
      <c r="F15" s="17"/>
      <c r="I15" s="1"/>
      <c r="J15" s="47"/>
      <c r="K15" s="47"/>
      <c r="M15" s="17"/>
    </row>
    <row r="16" spans="1:13" s="16" customFormat="1" ht="15">
      <c r="A16" s="29"/>
      <c r="B16" s="164"/>
      <c r="C16" s="27"/>
      <c r="D16" s="27"/>
      <c r="E16" s="27"/>
      <c r="F16" s="17"/>
      <c r="G16" s="17"/>
      <c r="H16" s="17"/>
      <c r="K16" s="17"/>
      <c r="M16" s="17"/>
    </row>
    <row r="17" spans="1:13" s="16" customFormat="1" ht="15">
      <c r="A17" s="29"/>
      <c r="B17" s="164"/>
      <c r="C17" s="27"/>
      <c r="D17" s="27"/>
      <c r="E17" s="27"/>
      <c r="F17" s="17"/>
      <c r="G17" s="17"/>
      <c r="H17" s="17"/>
      <c r="I17" s="25"/>
      <c r="J17" s="25"/>
      <c r="K17" s="46"/>
      <c r="M17" s="17"/>
    </row>
    <row r="18" spans="3:5" s="16" customFormat="1" ht="14.25">
      <c r="C18" s="17"/>
      <c r="D18" s="17"/>
      <c r="E18" s="17"/>
    </row>
    <row r="20" spans="1:5" ht="15">
      <c r="A20" s="1" t="s">
        <v>185</v>
      </c>
      <c r="D20" s="13" t="s">
        <v>0</v>
      </c>
      <c r="E20" s="18" t="s">
        <v>0</v>
      </c>
    </row>
    <row r="21" spans="1:7" ht="15">
      <c r="A21" s="69" t="s">
        <v>147</v>
      </c>
      <c r="B21" s="68" t="s">
        <v>183</v>
      </c>
      <c r="C21" s="70" t="s">
        <v>123</v>
      </c>
      <c r="D21" s="73" t="s">
        <v>79</v>
      </c>
      <c r="E21" s="70" t="s">
        <v>120</v>
      </c>
      <c r="F21" s="261" t="s">
        <v>149</v>
      </c>
      <c r="G21" s="261"/>
    </row>
    <row r="22" spans="1:7" ht="14.25">
      <c r="A22" s="5">
        <v>190505</v>
      </c>
      <c r="B22" s="5" t="str">
        <f>+B11</f>
        <v>Grupo Aval- preferencial (0.0094%)</v>
      </c>
      <c r="C22" s="14">
        <f>+D22-C11</f>
        <v>60571526</v>
      </c>
      <c r="D22" s="19">
        <v>385623526</v>
      </c>
      <c r="E22" s="19"/>
      <c r="F22" s="260"/>
      <c r="G22" s="260"/>
    </row>
    <row r="23" spans="1:7" ht="14.25">
      <c r="A23" s="5">
        <v>190505</v>
      </c>
      <c r="B23" s="5" t="str">
        <f>+B12</f>
        <v>Pacific Energy (0.000000022%)</v>
      </c>
      <c r="C23" s="14">
        <f>+D23-C12</f>
        <v>164000000</v>
      </c>
      <c r="D23" s="19">
        <v>2320000000</v>
      </c>
      <c r="E23" s="19"/>
      <c r="F23" s="260"/>
      <c r="G23" s="260"/>
    </row>
    <row r="24" spans="1:7" ht="14.25">
      <c r="A24" s="5">
        <v>190505</v>
      </c>
      <c r="B24" s="5" t="str">
        <f>+B13</f>
        <v>Construcciones Lvg SAS (100%)</v>
      </c>
      <c r="C24" s="14">
        <f>+E24-C13</f>
        <v>143300000</v>
      </c>
      <c r="D24" s="19"/>
      <c r="E24" s="19">
        <v>1950000000</v>
      </c>
      <c r="F24" s="260"/>
      <c r="G24" s="260"/>
    </row>
    <row r="25" spans="1:5" ht="15">
      <c r="A25" s="68">
        <v>190505</v>
      </c>
      <c r="B25" s="69" t="s">
        <v>5</v>
      </c>
      <c r="C25" s="85">
        <f>SUM(C22:C24)</f>
        <v>367871526</v>
      </c>
      <c r="D25" s="85"/>
      <c r="E25" s="85"/>
    </row>
    <row r="26" spans="3:5" s="16" customFormat="1" ht="14.25">
      <c r="C26" s="17"/>
      <c r="D26" s="17"/>
      <c r="E26" s="17"/>
    </row>
    <row r="27" spans="2:5" ht="15">
      <c r="B27" s="69" t="s">
        <v>186</v>
      </c>
      <c r="C27" s="85">
        <f>+C14+C25</f>
        <v>4655623526</v>
      </c>
      <c r="D27" s="85">
        <f>+F14+D25</f>
        <v>0</v>
      </c>
      <c r="E27" s="85">
        <f>+G14+E25</f>
        <v>0</v>
      </c>
    </row>
    <row r="32" spans="2:7" ht="15">
      <c r="B32" s="1" t="s">
        <v>187</v>
      </c>
      <c r="G32" s="124"/>
    </row>
    <row r="33" spans="2:10" ht="15">
      <c r="B33" s="83" t="s">
        <v>1</v>
      </c>
      <c r="C33" s="83" t="s">
        <v>232</v>
      </c>
      <c r="D33" s="83" t="s">
        <v>37</v>
      </c>
      <c r="E33" s="83" t="s">
        <v>145</v>
      </c>
      <c r="G33" s="124"/>
      <c r="H33" s="12"/>
      <c r="J33" s="12"/>
    </row>
    <row r="34" spans="2:10" ht="14.25">
      <c r="B34" s="5" t="str">
        <f>+B22</f>
        <v>Grupo Aval- preferencial (0.0094%)</v>
      </c>
      <c r="C34" s="6">
        <f>+C11+C22</f>
        <v>385623526</v>
      </c>
      <c r="D34" s="6">
        <f>+E34-C34</f>
        <v>0</v>
      </c>
      <c r="E34" s="6">
        <f>+D22</f>
        <v>385623526</v>
      </c>
      <c r="F34" s="2" t="str">
        <f>+F11</f>
        <v>Valor razonable - PYG</v>
      </c>
      <c r="G34" s="124" t="s">
        <v>751</v>
      </c>
      <c r="I34" s="12">
        <f>+E13</f>
        <v>1750000000</v>
      </c>
      <c r="J34" s="12"/>
    </row>
    <row r="35" spans="2:10" ht="14.25">
      <c r="B35" s="5" t="str">
        <f>+B23</f>
        <v>Pacific Energy (0.000000022%)</v>
      </c>
      <c r="C35" s="6">
        <f>+C12+C23</f>
        <v>2320000000</v>
      </c>
      <c r="D35" s="6">
        <f>+E35-C35</f>
        <v>0</v>
      </c>
      <c r="E35" s="6">
        <f>+D23</f>
        <v>2320000000</v>
      </c>
      <c r="F35" s="2" t="str">
        <f>+F12</f>
        <v>Valor razonable - ORI</v>
      </c>
      <c r="G35" s="124" t="s">
        <v>639</v>
      </c>
      <c r="H35" s="12"/>
      <c r="I35" s="2" t="s">
        <v>752</v>
      </c>
      <c r="J35" s="12"/>
    </row>
    <row r="36" spans="2:10" ht="14.25">
      <c r="B36" s="5" t="str">
        <f>+B24</f>
        <v>Construcciones Lvg SAS (100%)</v>
      </c>
      <c r="C36" s="6">
        <f>+C13+C24</f>
        <v>1950000000</v>
      </c>
      <c r="D36" s="6">
        <f>+E36-C36</f>
        <v>-200000000</v>
      </c>
      <c r="E36" s="6">
        <f>+I34</f>
        <v>1750000000</v>
      </c>
      <c r="F36" s="2" t="str">
        <f>+F13</f>
        <v>Método de participacion</v>
      </c>
      <c r="G36" s="2" t="s">
        <v>753</v>
      </c>
      <c r="H36" s="12"/>
      <c r="J36" s="12"/>
    </row>
    <row r="37" spans="2:10" ht="30">
      <c r="B37" s="84" t="s">
        <v>222</v>
      </c>
      <c r="C37" s="76">
        <f>SUM(C34:C36)</f>
        <v>4655623526</v>
      </c>
      <c r="D37" s="76">
        <f>SUM(D34:D36)</f>
        <v>-200000000</v>
      </c>
      <c r="E37" s="76">
        <f>SUM(E34:E36)</f>
        <v>4455623526</v>
      </c>
      <c r="F37" s="13"/>
      <c r="G37" s="2" t="s">
        <v>754</v>
      </c>
      <c r="H37" s="141"/>
      <c r="J37" s="12"/>
    </row>
    <row r="38" spans="9:10" ht="14.25">
      <c r="I38" s="12">
        <f>+C36</f>
        <v>1950000000</v>
      </c>
      <c r="J38" s="12"/>
    </row>
    <row r="39" spans="6:10" ht="14.25">
      <c r="F39" s="13"/>
      <c r="J39" s="12"/>
    </row>
    <row r="40" spans="2:7" ht="15">
      <c r="B40" s="1" t="s">
        <v>188</v>
      </c>
      <c r="F40" s="13"/>
      <c r="G40" s="1"/>
    </row>
    <row r="41" spans="2:8" ht="15">
      <c r="B41" s="83" t="s">
        <v>39</v>
      </c>
      <c r="C41" s="85" t="s">
        <v>59</v>
      </c>
      <c r="F41" s="13"/>
      <c r="H41" s="12"/>
    </row>
    <row r="42" spans="2:8" ht="14.25">
      <c r="B42" s="5" t="str">
        <f>+B34</f>
        <v>Grupo Aval- preferencial (0.0094%)</v>
      </c>
      <c r="C42" s="14">
        <f>+E34</f>
        <v>385623526</v>
      </c>
      <c r="D42" s="13" t="s">
        <v>692</v>
      </c>
      <c r="F42" s="12"/>
      <c r="G42" s="9"/>
      <c r="H42" s="13"/>
    </row>
    <row r="43" spans="2:9" ht="14.25">
      <c r="B43" s="5" t="str">
        <f>+B35</f>
        <v>Pacific Energy (0.000000022%)</v>
      </c>
      <c r="C43" s="14">
        <f>+E35</f>
        <v>2320000000</v>
      </c>
      <c r="D43" s="13" t="s">
        <v>692</v>
      </c>
      <c r="G43" s="13"/>
      <c r="H43" s="12"/>
      <c r="I43" s="9"/>
    </row>
    <row r="44" spans="2:9" ht="14.25">
      <c r="B44" s="5" t="str">
        <f>+B36</f>
        <v>Construcciones Lvg SAS (100%)</v>
      </c>
      <c r="C44" s="14">
        <f>+C13</f>
        <v>1806700000</v>
      </c>
      <c r="G44" s="13"/>
      <c r="H44" s="12"/>
      <c r="I44" s="12"/>
    </row>
    <row r="45" spans="2:8" ht="15">
      <c r="B45" s="84" t="s">
        <v>78</v>
      </c>
      <c r="C45" s="85">
        <f>SUM(C42:C44)</f>
        <v>4512323526</v>
      </c>
      <c r="G45" s="13"/>
      <c r="H45" s="12"/>
    </row>
    <row r="46" spans="7:9" ht="15">
      <c r="G46" s="47"/>
      <c r="H46" s="141"/>
      <c r="I46" s="141"/>
    </row>
    <row r="47" ht="15">
      <c r="B47" s="1"/>
    </row>
    <row r="50" spans="1:5" ht="14.25">
      <c r="A50" s="117"/>
      <c r="B50" s="117"/>
      <c r="C50" s="115"/>
      <c r="D50" s="115"/>
      <c r="E50" s="115"/>
    </row>
    <row r="51" ht="15">
      <c r="A51" s="1" t="s">
        <v>189</v>
      </c>
    </row>
    <row r="52" spans="1:5" ht="15">
      <c r="A52" s="69" t="s">
        <v>147</v>
      </c>
      <c r="B52" s="83" t="s">
        <v>1</v>
      </c>
      <c r="C52" s="83" t="s">
        <v>232</v>
      </c>
      <c r="D52" s="83" t="s">
        <v>37</v>
      </c>
      <c r="E52" s="83" t="s">
        <v>145</v>
      </c>
    </row>
    <row r="53" spans="1:6" ht="14.25">
      <c r="A53" s="5">
        <v>124505</v>
      </c>
      <c r="B53" s="7" t="s">
        <v>122</v>
      </c>
      <c r="C53" s="6">
        <v>132526364</v>
      </c>
      <c r="D53" s="6">
        <f>-C53</f>
        <v>-132526364</v>
      </c>
      <c r="E53" s="6">
        <f>+C53+D53</f>
        <v>0</v>
      </c>
      <c r="F53" s="2" t="s">
        <v>767</v>
      </c>
    </row>
    <row r="54" spans="1:5" ht="15">
      <c r="A54" s="68"/>
      <c r="B54" s="84" t="s">
        <v>136</v>
      </c>
      <c r="C54" s="76">
        <f>SUM(C53:C53)</f>
        <v>132526364</v>
      </c>
      <c r="D54" s="76">
        <f>SUM(D53:D53)</f>
        <v>-132526364</v>
      </c>
      <c r="E54" s="76">
        <f>SUM(E53:E53)</f>
        <v>0</v>
      </c>
    </row>
    <row r="56" ht="14.25">
      <c r="B56" s="2" t="s">
        <v>586</v>
      </c>
    </row>
    <row r="57" ht="14.25">
      <c r="B57" s="2" t="s">
        <v>587</v>
      </c>
    </row>
    <row r="60" spans="2:3" ht="14.25">
      <c r="B60" s="13">
        <v>120000000</v>
      </c>
      <c r="C60" s="13" t="s">
        <v>633</v>
      </c>
    </row>
    <row r="61" ht="14.25">
      <c r="C61" s="191">
        <v>0.02</v>
      </c>
    </row>
    <row r="62" ht="14.25">
      <c r="C62" s="191" t="s">
        <v>634</v>
      </c>
    </row>
    <row r="65" ht="14.25">
      <c r="A65" s="2" t="s">
        <v>635</v>
      </c>
    </row>
    <row r="66" ht="14.25">
      <c r="A66" s="2" t="s">
        <v>636</v>
      </c>
    </row>
    <row r="67" spans="5:13" ht="15">
      <c r="E67" s="13" t="s">
        <v>622</v>
      </c>
      <c r="H67" s="1" t="s">
        <v>774</v>
      </c>
      <c r="I67" s="1" t="s">
        <v>775</v>
      </c>
      <c r="K67" s="2" t="s">
        <v>779</v>
      </c>
      <c r="L67" s="2" t="s">
        <v>474</v>
      </c>
      <c r="M67" s="2" t="s">
        <v>780</v>
      </c>
    </row>
    <row r="68" spans="1:10" ht="14.25">
      <c r="A68" s="2" t="s">
        <v>637</v>
      </c>
      <c r="C68" s="13" t="s">
        <v>638</v>
      </c>
      <c r="E68" s="13" t="s">
        <v>771</v>
      </c>
      <c r="F68" s="2" t="s">
        <v>773</v>
      </c>
      <c r="H68" s="2" t="s">
        <v>435</v>
      </c>
      <c r="I68" s="2" t="s">
        <v>777</v>
      </c>
      <c r="J68" s="2" t="s">
        <v>778</v>
      </c>
    </row>
    <row r="69" spans="1:9" ht="14.25">
      <c r="A69" s="2" t="s">
        <v>639</v>
      </c>
      <c r="F69" s="2" t="s">
        <v>772</v>
      </c>
      <c r="H69" s="2" t="s">
        <v>435</v>
      </c>
      <c r="I69" s="2" t="s">
        <v>776</v>
      </c>
    </row>
    <row r="70" spans="2:3" ht="14.25">
      <c r="B70" s="2" t="s">
        <v>640</v>
      </c>
      <c r="C70" s="13">
        <v>23000000</v>
      </c>
    </row>
    <row r="71" spans="2:3" ht="14.25">
      <c r="B71" s="2" t="s">
        <v>158</v>
      </c>
      <c r="C71" s="13">
        <v>45000000</v>
      </c>
    </row>
    <row r="72" spans="2:4" ht="15">
      <c r="B72" s="1" t="s">
        <v>641</v>
      </c>
      <c r="C72" s="47">
        <f>+C70-C71</f>
        <v>-22000000</v>
      </c>
      <c r="D72" s="13" t="s">
        <v>514</v>
      </c>
    </row>
    <row r="75" ht="14.25">
      <c r="B75" s="2" t="s">
        <v>781</v>
      </c>
    </row>
  </sheetData>
  <sheetProtection/>
  <mergeCells count="4">
    <mergeCell ref="F22:G22"/>
    <mergeCell ref="F23:G23"/>
    <mergeCell ref="F24:G24"/>
    <mergeCell ref="F21:G21"/>
  </mergeCells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9"/>
  <sheetViews>
    <sheetView showGridLines="0" zoomScale="140" zoomScaleNormal="140"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11.421875" defaultRowHeight="12.75"/>
  <cols>
    <col min="1" max="1" width="11.421875" style="16" customWidth="1"/>
    <col min="2" max="2" width="33.140625" style="16" customWidth="1"/>
    <col min="3" max="3" width="20.421875" style="16" customWidth="1"/>
    <col min="4" max="4" width="21.00390625" style="16" customWidth="1"/>
    <col min="5" max="5" width="18.57421875" style="16" customWidth="1"/>
    <col min="6" max="6" width="20.00390625" style="16" customWidth="1"/>
    <col min="7" max="7" width="19.421875" style="16" customWidth="1"/>
    <col min="8" max="8" width="15.28125" style="16" customWidth="1"/>
    <col min="9" max="9" width="20.7109375" style="16" customWidth="1"/>
    <col min="10" max="10" width="20.140625" style="16" bestFit="1" customWidth="1"/>
    <col min="11" max="11" width="18.8515625" style="16" customWidth="1"/>
    <col min="12" max="12" width="17.140625" style="16" customWidth="1"/>
    <col min="13" max="13" width="17.00390625" style="16" customWidth="1"/>
    <col min="14" max="14" width="18.8515625" style="16" bestFit="1" customWidth="1"/>
    <col min="15" max="15" width="19.28125" style="16" customWidth="1"/>
    <col min="16" max="16" width="15.57421875" style="16" bestFit="1" customWidth="1"/>
    <col min="17" max="17" width="21.140625" style="16" bestFit="1" customWidth="1"/>
    <col min="18" max="18" width="18.57421875" style="16" customWidth="1"/>
    <col min="19" max="19" width="17.00390625" style="16" bestFit="1" customWidth="1"/>
    <col min="20" max="20" width="16.8515625" style="16" customWidth="1"/>
    <col min="21" max="21" width="11.421875" style="16" customWidth="1"/>
    <col min="22" max="22" width="15.00390625" style="17" customWidth="1"/>
    <col min="23" max="16384" width="11.421875" style="16" customWidth="1"/>
  </cols>
  <sheetData>
    <row r="1" spans="1:22" s="79" customFormat="1" ht="55.5" customHeight="1">
      <c r="A1" s="81" t="s">
        <v>170</v>
      </c>
      <c r="B1" s="80"/>
      <c r="C1" s="81" t="s">
        <v>171</v>
      </c>
      <c r="V1" s="116"/>
    </row>
    <row r="2" ht="14.25"/>
    <row r="3" ht="15">
      <c r="B3" s="25" t="s">
        <v>177</v>
      </c>
    </row>
    <row r="4" spans="11:19" ht="14.25">
      <c r="K4" s="16" t="s">
        <v>225</v>
      </c>
      <c r="S4" s="16" t="s">
        <v>643</v>
      </c>
    </row>
    <row r="5" spans="1:12" ht="15">
      <c r="A5" s="71"/>
      <c r="B5" s="72" t="s">
        <v>159</v>
      </c>
      <c r="C5" s="71"/>
      <c r="D5" s="71"/>
      <c r="E5" s="71"/>
      <c r="F5" s="71"/>
      <c r="I5" s="69" t="s">
        <v>8</v>
      </c>
      <c r="J5" s="76">
        <f>SUM(J6:J9)</f>
        <v>245460215</v>
      </c>
      <c r="L5" s="25"/>
    </row>
    <row r="6" spans="1:22" ht="15">
      <c r="A6" s="69" t="s">
        <v>147</v>
      </c>
      <c r="B6" s="69" t="s">
        <v>1</v>
      </c>
      <c r="C6" s="70" t="s">
        <v>64</v>
      </c>
      <c r="D6" s="70" t="s">
        <v>37</v>
      </c>
      <c r="E6" s="70" t="s">
        <v>145</v>
      </c>
      <c r="F6" s="69" t="s">
        <v>59</v>
      </c>
      <c r="I6" s="7" t="s">
        <v>542</v>
      </c>
      <c r="J6" s="6">
        <f>+C20</f>
        <v>115262000</v>
      </c>
      <c r="K6" s="16" t="s">
        <v>429</v>
      </c>
      <c r="T6" s="16" t="s">
        <v>644</v>
      </c>
      <c r="V6" s="17" t="s">
        <v>645</v>
      </c>
    </row>
    <row r="7" spans="1:22" ht="14.25">
      <c r="A7" s="7">
        <v>1305</v>
      </c>
      <c r="B7" s="7" t="s">
        <v>288</v>
      </c>
      <c r="C7" s="6">
        <f>+C19</f>
        <v>245460215</v>
      </c>
      <c r="D7" s="6"/>
      <c r="E7" s="6">
        <f>+C7+D7</f>
        <v>245460215</v>
      </c>
      <c r="F7" s="40">
        <f>+E7</f>
        <v>245460215</v>
      </c>
      <c r="G7" s="33"/>
      <c r="I7" s="7" t="s">
        <v>543</v>
      </c>
      <c r="J7" s="6">
        <f>+C21</f>
        <v>31250000</v>
      </c>
      <c r="K7" s="16" t="s">
        <v>281</v>
      </c>
      <c r="V7" s="17" t="s">
        <v>646</v>
      </c>
    </row>
    <row r="8" spans="1:22" ht="14.25">
      <c r="A8" s="7">
        <v>1330</v>
      </c>
      <c r="B8" s="7" t="s">
        <v>7</v>
      </c>
      <c r="C8" s="6">
        <f>+C42</f>
        <v>147500000</v>
      </c>
      <c r="D8" s="6"/>
      <c r="E8" s="6">
        <f>+C8+D8</f>
        <v>147500000</v>
      </c>
      <c r="F8" s="40">
        <f>+E8</f>
        <v>147500000</v>
      </c>
      <c r="G8" s="33"/>
      <c r="I8" s="7" t="s">
        <v>544</v>
      </c>
      <c r="J8" s="6">
        <f>+C22</f>
        <v>13524563</v>
      </c>
      <c r="K8" s="16" t="s">
        <v>282</v>
      </c>
      <c r="V8" s="17" t="s">
        <v>647</v>
      </c>
    </row>
    <row r="9" spans="1:22" ht="14.25">
      <c r="A9" s="7">
        <v>1355</v>
      </c>
      <c r="B9" s="7" t="s">
        <v>70</v>
      </c>
      <c r="C9" s="6">
        <f>+C49</f>
        <v>36088000</v>
      </c>
      <c r="D9" s="6">
        <f>+D48</f>
        <v>-12562000</v>
      </c>
      <c r="E9" s="6">
        <f>+C9+D9</f>
        <v>23526000</v>
      </c>
      <c r="F9" s="40">
        <f>+E9</f>
        <v>23526000</v>
      </c>
      <c r="G9" s="33"/>
      <c r="H9" s="33"/>
      <c r="I9" s="7" t="s">
        <v>545</v>
      </c>
      <c r="J9" s="6">
        <f>+C23</f>
        <v>85423652</v>
      </c>
      <c r="K9" s="16" t="s">
        <v>283</v>
      </c>
      <c r="V9" s="17" t="s">
        <v>648</v>
      </c>
    </row>
    <row r="10" spans="1:11" ht="14.25">
      <c r="A10" s="7">
        <v>1365</v>
      </c>
      <c r="B10" s="7" t="s">
        <v>128</v>
      </c>
      <c r="C10" s="6">
        <f>+C57</f>
        <v>26000000</v>
      </c>
      <c r="D10" s="6">
        <f>+D56</f>
        <v>-4714029.6635892615</v>
      </c>
      <c r="E10" s="6">
        <f>+C10+D10</f>
        <v>21285970.33641074</v>
      </c>
      <c r="F10" s="40">
        <f>+E10</f>
        <v>21285970.33641074</v>
      </c>
      <c r="G10" s="33"/>
      <c r="J10" s="17"/>
      <c r="K10" s="17"/>
    </row>
    <row r="11" spans="1:21" ht="15">
      <c r="A11" s="7"/>
      <c r="B11" s="7" t="s">
        <v>22</v>
      </c>
      <c r="C11" s="6"/>
      <c r="D11" s="6">
        <f>+E11-C11</f>
        <v>42212000</v>
      </c>
      <c r="E11" s="6">
        <f>+'Otros activos'!E9</f>
        <v>42212000</v>
      </c>
      <c r="F11" s="40">
        <f>+E11</f>
        <v>42212000</v>
      </c>
      <c r="G11" s="33"/>
      <c r="J11" s="17"/>
      <c r="K11" s="17"/>
      <c r="L11" s="46"/>
      <c r="U11" s="16" t="s">
        <v>649</v>
      </c>
    </row>
    <row r="12" spans="1:12" ht="14.25">
      <c r="A12" s="7">
        <v>1399</v>
      </c>
      <c r="B12" s="7" t="s">
        <v>139</v>
      </c>
      <c r="C12" s="6">
        <f>-D25</f>
        <v>-60842716</v>
      </c>
      <c r="D12" s="6">
        <f>+E12-C12</f>
        <v>26695081.401576392</v>
      </c>
      <c r="E12" s="6">
        <f>+D30</f>
        <v>-34147634.59842361</v>
      </c>
      <c r="F12" s="40">
        <f>+C12</f>
        <v>-60842716</v>
      </c>
      <c r="G12" s="33" t="s">
        <v>690</v>
      </c>
      <c r="J12" s="17"/>
      <c r="K12" s="17"/>
      <c r="L12" s="17"/>
    </row>
    <row r="13" spans="1:21" ht="15">
      <c r="A13" s="7"/>
      <c r="B13" s="69" t="s">
        <v>72</v>
      </c>
      <c r="C13" s="76">
        <f>SUM(C7:C12)</f>
        <v>394205499</v>
      </c>
      <c r="D13" s="76">
        <f>SUM(D7:D12)</f>
        <v>51631051.73798713</v>
      </c>
      <c r="E13" s="76">
        <f>SUM(E7:E12)</f>
        <v>445836550.73798716</v>
      </c>
      <c r="F13" s="76">
        <f>SUM(F7:F12)</f>
        <v>419141469.33641076</v>
      </c>
      <c r="I13" s="17" t="s">
        <v>0</v>
      </c>
      <c r="J13" s="17"/>
      <c r="K13" s="17"/>
      <c r="L13" s="17"/>
      <c r="U13" s="16" t="s">
        <v>650</v>
      </c>
    </row>
    <row r="14" spans="3:12" ht="14.25">
      <c r="C14" s="33"/>
      <c r="D14" s="33"/>
      <c r="E14" s="33"/>
      <c r="H14" s="33"/>
      <c r="J14" s="17"/>
      <c r="K14" s="17"/>
      <c r="L14" s="17"/>
    </row>
    <row r="15" spans="3:21" ht="15">
      <c r="C15" s="33"/>
      <c r="D15" s="33"/>
      <c r="E15" s="140">
        <f>+'Balance 01012014'!F7</f>
        <v>445836550.73798716</v>
      </c>
      <c r="F15" s="16" t="s">
        <v>241</v>
      </c>
      <c r="G15" s="33"/>
      <c r="J15" s="17"/>
      <c r="K15" s="17"/>
      <c r="L15" s="17"/>
      <c r="U15" s="25" t="s">
        <v>651</v>
      </c>
    </row>
    <row r="16" spans="3:12" ht="14.25">
      <c r="C16" s="33"/>
      <c r="D16" s="33"/>
      <c r="E16" s="33"/>
      <c r="J16" s="17"/>
      <c r="K16" s="17"/>
      <c r="L16" s="17"/>
    </row>
    <row r="17" spans="2:12" ht="14.25">
      <c r="B17" s="71" t="s">
        <v>160</v>
      </c>
      <c r="C17" s="71"/>
      <c r="E17" s="33"/>
      <c r="J17" s="17"/>
      <c r="K17" s="17"/>
      <c r="L17" s="17"/>
    </row>
    <row r="18" spans="2:12" ht="15">
      <c r="B18" s="262" t="s">
        <v>65</v>
      </c>
      <c r="C18" s="263"/>
      <c r="D18" s="73" t="s">
        <v>71</v>
      </c>
      <c r="J18" s="17"/>
      <c r="K18" s="17"/>
      <c r="L18" s="17"/>
    </row>
    <row r="19" spans="2:12" ht="15">
      <c r="B19" s="69" t="s">
        <v>8</v>
      </c>
      <c r="C19" s="76">
        <f>SUM(C20:C23)</f>
        <v>245460215</v>
      </c>
      <c r="D19" s="76">
        <f>SUM(D20:D23)</f>
        <v>60842716</v>
      </c>
      <c r="J19" s="17"/>
      <c r="K19" s="17"/>
      <c r="L19" s="17"/>
    </row>
    <row r="20" spans="2:12" ht="14.25">
      <c r="B20" s="7" t="str">
        <f>+I6</f>
        <v>Almacen Jexito SA</v>
      </c>
      <c r="C20" s="6">
        <v>115262000</v>
      </c>
      <c r="D20" s="6">
        <v>0</v>
      </c>
      <c r="E20" s="16" t="s">
        <v>278</v>
      </c>
      <c r="J20" s="17"/>
      <c r="K20" s="17"/>
      <c r="L20" s="17"/>
    </row>
    <row r="21" spans="2:12" ht="14.25">
      <c r="B21" s="7" t="str">
        <f>+I7</f>
        <v>Jeulet Pakard SA</v>
      </c>
      <c r="C21" s="6">
        <v>31250000</v>
      </c>
      <c r="D21" s="6">
        <v>0</v>
      </c>
      <c r="E21" s="16" t="s">
        <v>278</v>
      </c>
      <c r="I21" s="16" t="s">
        <v>790</v>
      </c>
      <c r="J21" s="17">
        <f>+C34</f>
        <v>85423652</v>
      </c>
      <c r="K21" s="17"/>
      <c r="L21" s="17"/>
    </row>
    <row r="22" spans="2:12" ht="14.25">
      <c r="B22" s="7" t="str">
        <f>+I8</f>
        <v>Grupo Nulle SA</v>
      </c>
      <c r="C22" s="6">
        <v>13524563</v>
      </c>
      <c r="D22" s="6">
        <f>+ROUND((C22*0.33),0)</f>
        <v>4463106</v>
      </c>
      <c r="E22" s="16" t="s">
        <v>140</v>
      </c>
      <c r="I22" s="16" t="s">
        <v>791</v>
      </c>
      <c r="J22" s="17">
        <f>+I31</f>
        <v>58038298.90157639</v>
      </c>
      <c r="K22" s="17"/>
      <c r="L22" s="17"/>
    </row>
    <row r="23" spans="2:12" ht="15">
      <c r="B23" s="7" t="str">
        <f>+I9</f>
        <v>Inversiones DMG SA</v>
      </c>
      <c r="C23" s="6">
        <v>85423652</v>
      </c>
      <c r="D23" s="6">
        <f>+ROUND((C23*0.66),0)</f>
        <v>56379610</v>
      </c>
      <c r="E23" s="16" t="s">
        <v>227</v>
      </c>
      <c r="I23" s="25" t="s">
        <v>13</v>
      </c>
      <c r="J23" s="46">
        <f>+J21-J22</f>
        <v>27385353.098423608</v>
      </c>
      <c r="K23" s="17"/>
      <c r="L23" s="17"/>
    </row>
    <row r="24" spans="10:12" ht="14.25">
      <c r="J24" s="17"/>
      <c r="K24" s="17"/>
      <c r="L24" s="17"/>
    </row>
    <row r="25" spans="2:4" ht="15">
      <c r="B25" s="11" t="s">
        <v>546</v>
      </c>
      <c r="C25" s="8">
        <f>+C12*-1</f>
        <v>60842716</v>
      </c>
      <c r="D25" s="8">
        <f>+D19</f>
        <v>60842716</v>
      </c>
    </row>
    <row r="26" spans="8:9" ht="14.25">
      <c r="H26" s="16" t="s">
        <v>53</v>
      </c>
      <c r="I26" s="6">
        <f>+C34/5</f>
        <v>17084730.4</v>
      </c>
    </row>
    <row r="27" spans="8:11" ht="14.25">
      <c r="H27" s="16" t="s">
        <v>54</v>
      </c>
      <c r="I27" s="33">
        <f>+I26</f>
        <v>17084730.4</v>
      </c>
      <c r="K27" s="17"/>
    </row>
    <row r="28" spans="1:11" ht="15">
      <c r="A28" s="264" t="s">
        <v>161</v>
      </c>
      <c r="B28" s="264"/>
      <c r="C28" s="264"/>
      <c r="D28" s="264"/>
      <c r="E28" s="264"/>
      <c r="F28" s="265"/>
      <c r="H28" s="16" t="s">
        <v>55</v>
      </c>
      <c r="I28" s="33">
        <f>+I27</f>
        <v>17084730.4</v>
      </c>
      <c r="K28" s="17"/>
    </row>
    <row r="29" spans="1:12" ht="15">
      <c r="A29" s="74"/>
      <c r="B29" s="75"/>
      <c r="C29" s="69" t="s">
        <v>45</v>
      </c>
      <c r="D29" s="69" t="s">
        <v>13</v>
      </c>
      <c r="E29" s="69" t="s">
        <v>104</v>
      </c>
      <c r="F29" s="69" t="s">
        <v>12</v>
      </c>
      <c r="H29" s="16" t="s">
        <v>56</v>
      </c>
      <c r="I29" s="33">
        <f>+I28</f>
        <v>17084730.4</v>
      </c>
      <c r="K29" s="17"/>
      <c r="L29" s="17"/>
    </row>
    <row r="30" spans="1:12" ht="15">
      <c r="A30" s="69" t="s">
        <v>147</v>
      </c>
      <c r="B30" s="69" t="s">
        <v>8</v>
      </c>
      <c r="C30" s="76">
        <f>SUM(C31:C34)</f>
        <v>245460215</v>
      </c>
      <c r="D30" s="76">
        <f>SUM(D31:D34)</f>
        <v>-34147634.59842361</v>
      </c>
      <c r="E30" s="68"/>
      <c r="F30" s="68"/>
      <c r="H30" s="16" t="s">
        <v>57</v>
      </c>
      <c r="I30" s="33">
        <f>+I29</f>
        <v>17084730.4</v>
      </c>
      <c r="K30" s="17"/>
      <c r="L30" s="35"/>
    </row>
    <row r="31" spans="1:12" ht="15">
      <c r="A31" s="7">
        <v>130505</v>
      </c>
      <c r="B31" s="7" t="str">
        <f aca="true" t="shared" si="0" ref="B31:C34">+B20</f>
        <v>Almacen Jexito SA</v>
      </c>
      <c r="C31" s="6">
        <f t="shared" si="0"/>
        <v>115262000</v>
      </c>
      <c r="D31" s="6"/>
      <c r="E31" s="7" t="s">
        <v>9</v>
      </c>
      <c r="F31" s="30"/>
      <c r="G31" s="25"/>
      <c r="I31" s="156">
        <f>+NPV(J31,I26:I30)</f>
        <v>58038298.90157639</v>
      </c>
      <c r="J31" s="63">
        <f>+C70</f>
        <v>0.1444</v>
      </c>
      <c r="K31" s="17"/>
      <c r="L31" s="35"/>
    </row>
    <row r="32" spans="1:12" ht="14.25">
      <c r="A32" s="7">
        <v>130505</v>
      </c>
      <c r="B32" s="7" t="str">
        <f t="shared" si="0"/>
        <v>Jeulet Pakard SA</v>
      </c>
      <c r="C32" s="6">
        <f t="shared" si="0"/>
        <v>31250000</v>
      </c>
      <c r="D32" s="6"/>
      <c r="E32" s="7" t="s">
        <v>10</v>
      </c>
      <c r="F32" s="30"/>
      <c r="K32" s="17"/>
      <c r="L32" s="35"/>
    </row>
    <row r="33" spans="1:12" ht="14.25">
      <c r="A33" s="7">
        <v>130505</v>
      </c>
      <c r="B33" s="7" t="str">
        <f t="shared" si="0"/>
        <v>Grupo Nulle SA</v>
      </c>
      <c r="C33" s="6">
        <f t="shared" si="0"/>
        <v>13524563</v>
      </c>
      <c r="D33" s="6">
        <f>-C33/2</f>
        <v>-6762281.5</v>
      </c>
      <c r="E33" s="7" t="s">
        <v>11</v>
      </c>
      <c r="F33" s="30"/>
      <c r="G33" s="16" t="s">
        <v>266</v>
      </c>
      <c r="K33" s="17"/>
      <c r="L33" s="35"/>
    </row>
    <row r="34" spans="1:13" ht="14.25">
      <c r="A34" s="7">
        <v>130505</v>
      </c>
      <c r="B34" s="7" t="str">
        <f t="shared" si="0"/>
        <v>Inversiones DMG SA</v>
      </c>
      <c r="C34" s="6">
        <f t="shared" si="0"/>
        <v>85423652</v>
      </c>
      <c r="D34" s="6">
        <f>-J23</f>
        <v>-27385353.098423608</v>
      </c>
      <c r="E34" s="7" t="s">
        <v>11</v>
      </c>
      <c r="F34" s="30"/>
      <c r="G34" s="16" t="s">
        <v>325</v>
      </c>
      <c r="L34" s="154"/>
      <c r="M34" s="35"/>
    </row>
    <row r="35" spans="7:14" ht="14.25">
      <c r="G35" s="16" t="s">
        <v>228</v>
      </c>
      <c r="L35" s="154"/>
      <c r="M35" s="154"/>
      <c r="N35" s="154"/>
    </row>
    <row r="36" spans="4:14" ht="15">
      <c r="D36" s="16" t="s">
        <v>0</v>
      </c>
      <c r="K36" s="25"/>
      <c r="L36" s="155"/>
      <c r="M36" s="155"/>
      <c r="N36" s="155"/>
    </row>
    <row r="38" spans="1:5" ht="15">
      <c r="A38" s="72" t="s">
        <v>324</v>
      </c>
      <c r="B38" s="71"/>
      <c r="C38" s="71"/>
      <c r="D38" s="71"/>
      <c r="E38" s="71"/>
    </row>
    <row r="39" spans="1:12" ht="15">
      <c r="A39" s="69" t="s">
        <v>147</v>
      </c>
      <c r="B39" s="69" t="s">
        <v>1</v>
      </c>
      <c r="C39" s="70" t="s">
        <v>66</v>
      </c>
      <c r="D39" s="70" t="s">
        <v>37</v>
      </c>
      <c r="E39" s="70" t="s">
        <v>145</v>
      </c>
      <c r="L39" s="17"/>
    </row>
    <row r="40" spans="1:12" ht="14.25">
      <c r="A40" s="7">
        <v>133015</v>
      </c>
      <c r="B40" s="34" t="s">
        <v>67</v>
      </c>
      <c r="C40" s="6">
        <v>12500000</v>
      </c>
      <c r="D40" s="6"/>
      <c r="E40" s="6">
        <f>+C40+D40</f>
        <v>12500000</v>
      </c>
      <c r="F40" s="16" t="s">
        <v>588</v>
      </c>
      <c r="I40" s="17"/>
      <c r="L40" s="17"/>
    </row>
    <row r="41" spans="1:12" ht="14.25">
      <c r="A41" s="7">
        <v>133010</v>
      </c>
      <c r="B41" s="34" t="s">
        <v>103</v>
      </c>
      <c r="C41" s="6">
        <v>135000000</v>
      </c>
      <c r="D41" s="6"/>
      <c r="E41" s="6">
        <f>+C41+D41</f>
        <v>135000000</v>
      </c>
      <c r="F41" s="16" t="s">
        <v>178</v>
      </c>
      <c r="I41" s="17"/>
      <c r="J41" s="17"/>
      <c r="L41" s="17"/>
    </row>
    <row r="42" spans="1:12" ht="15">
      <c r="A42" s="68"/>
      <c r="B42" s="77" t="s">
        <v>14</v>
      </c>
      <c r="C42" s="76">
        <f>SUM(C40:C41)</f>
        <v>147500000</v>
      </c>
      <c r="D42" s="76">
        <f>SUM(D40:D41)</f>
        <v>0</v>
      </c>
      <c r="E42" s="76">
        <f>SUM(E40:E41)</f>
        <v>147500000</v>
      </c>
      <c r="I42" s="17"/>
      <c r="J42" s="17"/>
      <c r="L42" s="17"/>
    </row>
    <row r="43" spans="9:12" ht="14.25">
      <c r="I43" s="17"/>
      <c r="J43" s="17"/>
      <c r="L43" s="17"/>
    </row>
    <row r="44" spans="9:15" ht="15">
      <c r="I44" s="17"/>
      <c r="J44" s="17"/>
      <c r="K44" s="153"/>
      <c r="L44" s="155"/>
      <c r="O44" s="17"/>
    </row>
    <row r="45" spans="1:15" ht="15">
      <c r="A45" s="72" t="s">
        <v>162</v>
      </c>
      <c r="B45" s="71"/>
      <c r="C45" s="71"/>
      <c r="D45" s="71"/>
      <c r="E45" s="71"/>
      <c r="I45" s="17"/>
      <c r="J45" s="17"/>
      <c r="K45" s="153"/>
      <c r="L45" s="154"/>
      <c r="O45" s="17"/>
    </row>
    <row r="46" spans="1:15" ht="15">
      <c r="A46" s="69" t="s">
        <v>147</v>
      </c>
      <c r="B46" s="69" t="s">
        <v>1</v>
      </c>
      <c r="C46" s="70" t="s">
        <v>66</v>
      </c>
      <c r="D46" s="70" t="s">
        <v>37</v>
      </c>
      <c r="E46" s="70" t="s">
        <v>145</v>
      </c>
      <c r="I46" s="17"/>
      <c r="J46" s="17"/>
      <c r="K46" s="35"/>
      <c r="O46" s="17"/>
    </row>
    <row r="47" spans="1:15" ht="14.25">
      <c r="A47" s="7">
        <v>135520</v>
      </c>
      <c r="B47" s="34" t="s">
        <v>68</v>
      </c>
      <c r="C47" s="6">
        <v>23526000</v>
      </c>
      <c r="D47" s="6"/>
      <c r="E47" s="6">
        <f>+C47+D47</f>
        <v>23526000</v>
      </c>
      <c r="I47" s="17"/>
      <c r="J47" s="17"/>
      <c r="K47" s="35"/>
      <c r="O47" s="17"/>
    </row>
    <row r="48" spans="1:15" ht="14.25">
      <c r="A48" s="7">
        <v>135520</v>
      </c>
      <c r="B48" s="34" t="s">
        <v>135</v>
      </c>
      <c r="C48" s="6">
        <v>12562000</v>
      </c>
      <c r="D48" s="6">
        <f>-C48</f>
        <v>-12562000</v>
      </c>
      <c r="E48" s="6">
        <f>+C48+D48</f>
        <v>0</v>
      </c>
      <c r="F48" s="16" t="s">
        <v>785</v>
      </c>
      <c r="I48" s="17"/>
      <c r="J48" s="17"/>
      <c r="L48" s="154"/>
      <c r="O48" s="17"/>
    </row>
    <row r="49" spans="2:15" ht="15">
      <c r="B49" s="69" t="s">
        <v>15</v>
      </c>
      <c r="C49" s="76">
        <f>SUM(C47:C48)</f>
        <v>36088000</v>
      </c>
      <c r="D49" s="76">
        <f>SUM(D47:D48)</f>
        <v>-12562000</v>
      </c>
      <c r="E49" s="76">
        <f>SUM(E47:E48)</f>
        <v>23526000</v>
      </c>
      <c r="I49" s="17"/>
      <c r="J49" s="17"/>
      <c r="L49" s="154"/>
      <c r="O49" s="17"/>
    </row>
    <row r="50" spans="9:15" ht="15">
      <c r="I50" s="17"/>
      <c r="J50" s="17"/>
      <c r="K50" s="25"/>
      <c r="L50" s="155"/>
      <c r="O50" s="56"/>
    </row>
    <row r="51" spans="8:9" ht="15">
      <c r="H51" s="25"/>
      <c r="I51" s="60"/>
    </row>
    <row r="54" spans="1:11" ht="15">
      <c r="A54" s="72" t="s">
        <v>163</v>
      </c>
      <c r="B54" s="72"/>
      <c r="C54" s="71"/>
      <c r="D54" s="71"/>
      <c r="E54" s="71"/>
      <c r="K54" s="35"/>
    </row>
    <row r="55" spans="1:10" ht="15">
      <c r="A55" s="69" t="s">
        <v>147</v>
      </c>
      <c r="B55" s="69" t="s">
        <v>1</v>
      </c>
      <c r="C55" s="70" t="s">
        <v>66</v>
      </c>
      <c r="D55" s="70" t="s">
        <v>37</v>
      </c>
      <c r="E55" s="70" t="s">
        <v>145</v>
      </c>
      <c r="J55" s="35"/>
    </row>
    <row r="56" spans="1:6" ht="14.25">
      <c r="A56" s="7">
        <v>136510</v>
      </c>
      <c r="B56" s="7" t="s">
        <v>127</v>
      </c>
      <c r="C56" s="6">
        <f>+G66</f>
        <v>26000000</v>
      </c>
      <c r="D56" s="6">
        <f>+E56-C56</f>
        <v>-4714029.6635892615</v>
      </c>
      <c r="E56" s="6">
        <f>+E66</f>
        <v>21285970.33641074</v>
      </c>
      <c r="F56" s="16" t="s">
        <v>547</v>
      </c>
    </row>
    <row r="57" spans="2:7" ht="15">
      <c r="B57" s="69" t="s">
        <v>69</v>
      </c>
      <c r="C57" s="76">
        <f>+C56</f>
        <v>26000000</v>
      </c>
      <c r="D57" s="76">
        <f>+D56</f>
        <v>-4714029.6635892615</v>
      </c>
      <c r="E57" s="76">
        <f>+E56</f>
        <v>21285970.33641074</v>
      </c>
      <c r="F57" s="16" t="s">
        <v>144</v>
      </c>
      <c r="G57" s="59">
        <v>65000000</v>
      </c>
    </row>
    <row r="58" spans="3:7" ht="14.25">
      <c r="C58" s="35" t="s">
        <v>0</v>
      </c>
      <c r="F58" s="16" t="s">
        <v>230</v>
      </c>
      <c r="G58" s="59">
        <f>+G57/5</f>
        <v>13000000</v>
      </c>
    </row>
    <row r="60" ht="14.25">
      <c r="C60" s="35" t="s">
        <v>0</v>
      </c>
    </row>
    <row r="61" spans="2:5" ht="15">
      <c r="B61" s="72" t="s">
        <v>164</v>
      </c>
      <c r="C61" s="78"/>
      <c r="D61" s="71"/>
      <c r="E61" s="71"/>
    </row>
    <row r="62" spans="2:7" ht="15">
      <c r="B62" s="70"/>
      <c r="C62" s="70" t="s">
        <v>73</v>
      </c>
      <c r="D62" s="70" t="s">
        <v>74</v>
      </c>
      <c r="E62" s="70" t="s">
        <v>75</v>
      </c>
      <c r="G62" s="70" t="s">
        <v>143</v>
      </c>
    </row>
    <row r="63" spans="2:7" ht="15">
      <c r="B63" s="64" t="s">
        <v>153</v>
      </c>
      <c r="C63" s="4"/>
      <c r="D63" s="4"/>
      <c r="E63" s="122">
        <f>+C69</f>
        <v>44162118.33933845</v>
      </c>
      <c r="G63" s="4"/>
    </row>
    <row r="64" spans="2:8" ht="14.25">
      <c r="B64" s="7" t="s">
        <v>109</v>
      </c>
      <c r="C64" s="32">
        <f>+G58</f>
        <v>13000000</v>
      </c>
      <c r="D64" s="32">
        <f>+E63*$C$70</f>
        <v>6377009.888200472</v>
      </c>
      <c r="E64" s="32">
        <f>+E63+D64-C64</f>
        <v>37539128.22753892</v>
      </c>
      <c r="G64" s="32">
        <f>+G57-C64</f>
        <v>52000000</v>
      </c>
      <c r="H64" s="17"/>
    </row>
    <row r="65" spans="2:8" ht="14.25">
      <c r="B65" s="7" t="s">
        <v>106</v>
      </c>
      <c r="C65" s="32">
        <f>+C64</f>
        <v>13000000</v>
      </c>
      <c r="D65" s="32">
        <f>+E64*$C$70</f>
        <v>5420650.11605662</v>
      </c>
      <c r="E65" s="32">
        <f>+E64+D65-C65</f>
        <v>29959778.343595542</v>
      </c>
      <c r="G65" s="32">
        <f>+G64-C65</f>
        <v>39000000</v>
      </c>
      <c r="H65" s="17"/>
    </row>
    <row r="66" spans="2:8" ht="14.25">
      <c r="B66" s="15" t="s">
        <v>107</v>
      </c>
      <c r="C66" s="43">
        <f>+C65</f>
        <v>13000000</v>
      </c>
      <c r="D66" s="43">
        <f>+E65*$C$70</f>
        <v>4326191.9928151965</v>
      </c>
      <c r="E66" s="43">
        <f>+E65+D66-C66</f>
        <v>21285970.33641074</v>
      </c>
      <c r="G66" s="43">
        <f>+G65-C66</f>
        <v>26000000</v>
      </c>
      <c r="H66" s="17"/>
    </row>
    <row r="67" spans="2:8" ht="14.25">
      <c r="B67" s="7" t="s">
        <v>108</v>
      </c>
      <c r="C67" s="32">
        <f>+C66</f>
        <v>13000000</v>
      </c>
      <c r="D67" s="32">
        <f>+E66*$C$70</f>
        <v>3073694.1165777105</v>
      </c>
      <c r="E67" s="32">
        <f>+E66+D67-C67</f>
        <v>11359664.45298845</v>
      </c>
      <c r="G67" s="32">
        <f>+G66-C67</f>
        <v>13000000</v>
      </c>
      <c r="H67" s="17"/>
    </row>
    <row r="68" spans="2:8" ht="14.25">
      <c r="B68" s="7" t="s">
        <v>229</v>
      </c>
      <c r="C68" s="32">
        <f>+C67</f>
        <v>13000000</v>
      </c>
      <c r="D68" s="32">
        <f>+E67*$C$70</f>
        <v>1640335.5470115321</v>
      </c>
      <c r="E68" s="43">
        <f>+E67+D68-C68</f>
        <v>-1.862645149230957E-08</v>
      </c>
      <c r="G68" s="32">
        <f>+G67-C68</f>
        <v>0</v>
      </c>
      <c r="H68" s="17"/>
    </row>
    <row r="69" spans="2:8" ht="14.25">
      <c r="B69" s="16" t="s">
        <v>311</v>
      </c>
      <c r="C69" s="48">
        <f>+NPV(C70,C64:C68)</f>
        <v>44162118.33933845</v>
      </c>
      <c r="D69" s="17"/>
      <c r="E69" s="17"/>
      <c r="G69" s="17"/>
      <c r="H69" s="17"/>
    </row>
    <row r="70" spans="1:8" ht="14.25">
      <c r="A70" s="16" t="s">
        <v>0</v>
      </c>
      <c r="B70" s="63" t="s">
        <v>2</v>
      </c>
      <c r="C70" s="142">
        <v>0.1444</v>
      </c>
      <c r="D70" s="17"/>
      <c r="E70" s="17"/>
      <c r="F70" s="17"/>
      <c r="G70" s="17"/>
      <c r="H70" s="17"/>
    </row>
    <row r="71" spans="1:8" ht="14.25">
      <c r="A71" s="16" t="s">
        <v>0</v>
      </c>
      <c r="B71" s="49"/>
      <c r="C71" s="123">
        <f>+G57</f>
        <v>65000000</v>
      </c>
      <c r="D71" s="17"/>
      <c r="E71" s="114" t="s">
        <v>265</v>
      </c>
      <c r="F71" s="115"/>
      <c r="G71" s="17"/>
      <c r="H71" s="17"/>
    </row>
    <row r="72" spans="3:8" ht="14.25">
      <c r="C72" s="61"/>
      <c r="D72" s="48"/>
      <c r="E72" s="115" t="s">
        <v>279</v>
      </c>
      <c r="F72" s="115"/>
      <c r="G72" s="17"/>
      <c r="H72" s="17"/>
    </row>
    <row r="73" spans="3:8" ht="14.25">
      <c r="C73" s="17"/>
      <c r="D73" s="17"/>
      <c r="E73" s="115" t="s">
        <v>280</v>
      </c>
      <c r="F73" s="115"/>
      <c r="G73" s="17"/>
      <c r="H73" s="17"/>
    </row>
    <row r="74" ht="15">
      <c r="B74" s="25" t="s">
        <v>589</v>
      </c>
    </row>
    <row r="76" ht="14.25">
      <c r="D76" s="181"/>
    </row>
    <row r="77" ht="14.25">
      <c r="C77" s="181"/>
    </row>
    <row r="79" ht="15">
      <c r="B79" s="25"/>
    </row>
    <row r="80" ht="14.25">
      <c r="D80" s="35"/>
    </row>
    <row r="82" ht="14.25">
      <c r="C82" s="35"/>
    </row>
    <row r="85" ht="14.25">
      <c r="D85" s="35"/>
    </row>
    <row r="86" ht="14.25">
      <c r="C86" s="35"/>
    </row>
    <row r="89" spans="3:4" ht="14.25">
      <c r="C89" s="182"/>
      <c r="D89" s="35"/>
    </row>
  </sheetData>
  <sheetProtection/>
  <mergeCells count="2">
    <mergeCell ref="B18:C18"/>
    <mergeCell ref="A28:F28"/>
  </mergeCells>
  <printOptions/>
  <pageMargins left="0.3937007874015748" right="0.3937007874015748" top="0.3937007874015748" bottom="0.3937007874015748" header="0" footer="0"/>
  <pageSetup horizontalDpi="120" verticalDpi="12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11.421875" style="16" customWidth="1"/>
    <col min="2" max="2" width="26.57421875" style="16" customWidth="1"/>
    <col min="3" max="3" width="21.7109375" style="16" bestFit="1" customWidth="1"/>
    <col min="4" max="4" width="18.57421875" style="16" customWidth="1"/>
    <col min="5" max="5" width="19.140625" style="16" customWidth="1"/>
    <col min="6" max="6" width="17.7109375" style="16" customWidth="1"/>
    <col min="7" max="7" width="17.57421875" style="16" bestFit="1" customWidth="1"/>
    <col min="8" max="8" width="16.57421875" style="16" customWidth="1"/>
    <col min="9" max="9" width="12.7109375" style="16" bestFit="1" customWidth="1"/>
    <col min="10" max="10" width="11.421875" style="16" customWidth="1"/>
    <col min="11" max="11" width="16.28125" style="17" bestFit="1" customWidth="1"/>
    <col min="12" max="16384" width="11.421875" style="16" customWidth="1"/>
  </cols>
  <sheetData>
    <row r="1" spans="1:11" s="79" customFormat="1" ht="55.5" customHeight="1">
      <c r="A1" s="81" t="s">
        <v>170</v>
      </c>
      <c r="B1" s="80"/>
      <c r="C1" s="81" t="s">
        <v>171</v>
      </c>
      <c r="K1" s="116"/>
    </row>
    <row r="2" ht="14.25"/>
    <row r="3" spans="1:5" ht="15">
      <c r="A3" s="25" t="s">
        <v>179</v>
      </c>
      <c r="E3" s="33"/>
    </row>
    <row r="4" ht="15">
      <c r="B4" s="25" t="s">
        <v>0</v>
      </c>
    </row>
    <row r="5" spans="1:9" ht="15">
      <c r="A5" s="69" t="s">
        <v>147</v>
      </c>
      <c r="B5" s="83" t="s">
        <v>1</v>
      </c>
      <c r="C5" s="83" t="s">
        <v>231</v>
      </c>
      <c r="D5" s="83" t="s">
        <v>37</v>
      </c>
      <c r="E5" s="83" t="s">
        <v>145</v>
      </c>
      <c r="F5" s="69" t="s">
        <v>59</v>
      </c>
      <c r="I5" s="33"/>
    </row>
    <row r="6" spans="1:9" ht="14.25">
      <c r="A6" s="7">
        <v>1405</v>
      </c>
      <c r="B6" s="7" t="s">
        <v>110</v>
      </c>
      <c r="C6" s="6">
        <f>+C22</f>
        <v>78289828</v>
      </c>
      <c r="D6" s="6"/>
      <c r="E6" s="6">
        <f>+C6+D6</f>
        <v>78289828</v>
      </c>
      <c r="F6" s="40">
        <f>+E6</f>
        <v>78289828</v>
      </c>
      <c r="I6" s="33"/>
    </row>
    <row r="7" spans="1:9" ht="14.25">
      <c r="A7" s="7">
        <v>143005</v>
      </c>
      <c r="B7" s="7" t="s">
        <v>111</v>
      </c>
      <c r="C7" s="6">
        <f>+C33</f>
        <v>246438000</v>
      </c>
      <c r="D7" s="6"/>
      <c r="E7" s="6">
        <f>+C7+D7</f>
        <v>246438000</v>
      </c>
      <c r="F7" s="40">
        <f>+E7</f>
        <v>246438000</v>
      </c>
      <c r="I7" s="33"/>
    </row>
    <row r="8" spans="1:9" ht="14.25">
      <c r="A8" s="7">
        <v>1445</v>
      </c>
      <c r="B8" s="7" t="s">
        <v>554</v>
      </c>
      <c r="C8" s="6">
        <f>+D44</f>
        <v>132342823</v>
      </c>
      <c r="D8" s="6">
        <f>+E8-C8</f>
        <v>53101177</v>
      </c>
      <c r="E8" s="6">
        <f>+E44</f>
        <v>185444000</v>
      </c>
      <c r="F8" s="183"/>
      <c r="G8" s="16" t="s">
        <v>590</v>
      </c>
      <c r="I8" s="33"/>
    </row>
    <row r="9" spans="1:9" ht="14.25">
      <c r="A9" s="7"/>
      <c r="B9" s="7" t="s">
        <v>611</v>
      </c>
      <c r="C9" s="6"/>
      <c r="D9" s="6"/>
      <c r="E9" s="6"/>
      <c r="F9" s="40">
        <f>+E9</f>
        <v>0</v>
      </c>
      <c r="I9" s="33"/>
    </row>
    <row r="10" spans="1:6" ht="14.25">
      <c r="A10" s="7">
        <v>1499</v>
      </c>
      <c r="B10" s="7" t="s">
        <v>40</v>
      </c>
      <c r="C10" s="6">
        <v>0</v>
      </c>
      <c r="D10" s="6">
        <f>+E10-C10</f>
        <v>-9952000</v>
      </c>
      <c r="E10" s="6">
        <f>+E33</f>
        <v>-9952000</v>
      </c>
      <c r="F10" s="40">
        <f>+C10</f>
        <v>0</v>
      </c>
    </row>
    <row r="11" spans="1:6" ht="15">
      <c r="A11" s="68"/>
      <c r="B11" s="69" t="s">
        <v>16</v>
      </c>
      <c r="C11" s="76">
        <f>SUM(C6:C10)</f>
        <v>457070651</v>
      </c>
      <c r="D11" s="76">
        <f>SUM(D6:D10)</f>
        <v>43149177</v>
      </c>
      <c r="E11" s="76">
        <f>SUM(E6:E10)</f>
        <v>500219828</v>
      </c>
      <c r="F11" s="76">
        <f>SUM(F6:F10)</f>
        <v>324727828</v>
      </c>
    </row>
    <row r="13" spans="5:11" ht="15">
      <c r="E13" s="140">
        <f>+'Balance 01012014'!F9+'Balance 01012014'!F13</f>
        <v>500219828</v>
      </c>
      <c r="K13" s="16"/>
    </row>
    <row r="14" spans="1:11" ht="14.25">
      <c r="A14" s="16" t="s">
        <v>658</v>
      </c>
      <c r="K14" s="16"/>
    </row>
    <row r="15" ht="14.25">
      <c r="K15" s="16"/>
    </row>
    <row r="16" ht="14.25">
      <c r="K16" s="16"/>
    </row>
    <row r="17" ht="14.25">
      <c r="K17" s="16"/>
    </row>
    <row r="18" ht="14.25">
      <c r="K18" s="16"/>
    </row>
    <row r="19" ht="14.25">
      <c r="K19" s="16"/>
    </row>
    <row r="20" spans="2:11" ht="15">
      <c r="B20" s="72" t="s">
        <v>180</v>
      </c>
      <c r="C20" s="71"/>
      <c r="D20" s="71"/>
      <c r="E20" s="71"/>
      <c r="K20" s="16"/>
    </row>
    <row r="21" spans="2:5" ht="30">
      <c r="B21" s="83" t="s">
        <v>39</v>
      </c>
      <c r="C21" s="83" t="s">
        <v>77</v>
      </c>
      <c r="D21" s="83" t="s">
        <v>330</v>
      </c>
      <c r="E21" s="83" t="s">
        <v>13</v>
      </c>
    </row>
    <row r="22" spans="2:7" ht="15">
      <c r="B22" s="69" t="str">
        <f>+B6</f>
        <v>Materia prima</v>
      </c>
      <c r="C22" s="76">
        <f>SUM(C23:C25)</f>
        <v>78289828</v>
      </c>
      <c r="D22" s="76">
        <f>SUM(D23:D25)</f>
        <v>76450000</v>
      </c>
      <c r="E22" s="76">
        <f>SUM(E23:E25)</f>
        <v>0</v>
      </c>
      <c r="G22" s="36"/>
    </row>
    <row r="23" spans="2:7" ht="14.25">
      <c r="B23" s="7" t="s">
        <v>327</v>
      </c>
      <c r="C23" s="6">
        <v>36000000</v>
      </c>
      <c r="D23" s="6">
        <v>28000000</v>
      </c>
      <c r="E23" s="6"/>
      <c r="G23" s="36"/>
    </row>
    <row r="24" spans="2:8" ht="14.25">
      <c r="B24" s="7" t="s">
        <v>328</v>
      </c>
      <c r="C24" s="6">
        <v>18000828</v>
      </c>
      <c r="D24" s="6">
        <v>12450000</v>
      </c>
      <c r="E24" s="6"/>
      <c r="G24" s="35"/>
      <c r="H24" s="16" t="s">
        <v>0</v>
      </c>
    </row>
    <row r="25" spans="2:7" ht="14.25">
      <c r="B25" s="7" t="s">
        <v>329</v>
      </c>
      <c r="C25" s="6">
        <v>24289000</v>
      </c>
      <c r="D25" s="6">
        <v>36000000</v>
      </c>
      <c r="E25" s="6"/>
      <c r="G25" s="36"/>
    </row>
    <row r="26" ht="14.25">
      <c r="C26" s="37"/>
    </row>
    <row r="27" ht="14.25">
      <c r="C27" s="37"/>
    </row>
    <row r="28" ht="14.25">
      <c r="C28" s="37"/>
    </row>
    <row r="29" ht="14.25">
      <c r="C29" s="37"/>
    </row>
    <row r="30" ht="14.25">
      <c r="C30" s="37"/>
    </row>
    <row r="31" spans="2:5" ht="15">
      <c r="B31" s="72" t="s">
        <v>181</v>
      </c>
      <c r="C31" s="71"/>
      <c r="D31" s="71"/>
      <c r="E31" s="71"/>
    </row>
    <row r="32" spans="2:10" ht="30">
      <c r="B32" s="83" t="s">
        <v>39</v>
      </c>
      <c r="C32" s="83" t="s">
        <v>77</v>
      </c>
      <c r="D32" s="83" t="s">
        <v>76</v>
      </c>
      <c r="E32" s="83" t="s">
        <v>13</v>
      </c>
      <c r="G32" s="147" t="s">
        <v>331</v>
      </c>
      <c r="H32" s="147" t="s">
        <v>332</v>
      </c>
      <c r="I32" s="147" t="s">
        <v>333</v>
      </c>
      <c r="J32" s="147" t="s">
        <v>334</v>
      </c>
    </row>
    <row r="33" spans="2:5" ht="15">
      <c r="B33" s="84" t="str">
        <f>+B7</f>
        <v>Productos terminados</v>
      </c>
      <c r="C33" s="76">
        <f>SUM(C34:C39)</f>
        <v>246438000</v>
      </c>
      <c r="D33" s="76">
        <f>SUM(D34:D39)</f>
        <v>242460000</v>
      </c>
      <c r="E33" s="76">
        <f>SUM(E34:E39)</f>
        <v>-9952000</v>
      </c>
    </row>
    <row r="34" spans="2:12" ht="14.25">
      <c r="B34" s="7" t="s">
        <v>548</v>
      </c>
      <c r="C34" s="6">
        <f aca="true" t="shared" si="0" ref="C34:C39">+G34*H34</f>
        <v>78000000</v>
      </c>
      <c r="D34" s="6">
        <f aca="true" t="shared" si="1" ref="D34:D39">+((I34)-(I34*J34))*G34</f>
        <v>81000000</v>
      </c>
      <c r="E34" s="6" t="s">
        <v>794</v>
      </c>
      <c r="G34" s="33">
        <v>120000</v>
      </c>
      <c r="H34" s="33">
        <v>650</v>
      </c>
      <c r="I34" s="33">
        <v>750</v>
      </c>
      <c r="J34" s="148">
        <v>0.1</v>
      </c>
      <c r="L34" s="16" t="s">
        <v>76</v>
      </c>
    </row>
    <row r="35" spans="2:12" ht="14.25">
      <c r="B35" s="7" t="s">
        <v>549</v>
      </c>
      <c r="C35" s="6">
        <f t="shared" si="0"/>
        <v>17600000</v>
      </c>
      <c r="D35" s="6">
        <f t="shared" si="1"/>
        <v>18720000</v>
      </c>
      <c r="E35" s="6" t="s">
        <v>0</v>
      </c>
      <c r="G35" s="33">
        <v>32000</v>
      </c>
      <c r="H35" s="33">
        <v>550</v>
      </c>
      <c r="I35" s="33">
        <v>650</v>
      </c>
      <c r="J35" s="148">
        <v>0.1</v>
      </c>
      <c r="L35" s="16" t="s">
        <v>652</v>
      </c>
    </row>
    <row r="36" spans="2:10" ht="14.25">
      <c r="B36" s="7" t="s">
        <v>550</v>
      </c>
      <c r="C36" s="6">
        <f t="shared" si="0"/>
        <v>10920000</v>
      </c>
      <c r="D36" s="6">
        <f t="shared" si="1"/>
        <v>11700000</v>
      </c>
      <c r="E36" s="6" t="s">
        <v>0</v>
      </c>
      <c r="G36" s="33">
        <v>5200</v>
      </c>
      <c r="H36" s="33">
        <v>2100</v>
      </c>
      <c r="I36" s="33">
        <v>2500</v>
      </c>
      <c r="J36" s="148">
        <v>0.1</v>
      </c>
    </row>
    <row r="37" spans="2:12" ht="14.25">
      <c r="B37" s="7" t="s">
        <v>551</v>
      </c>
      <c r="C37" s="6">
        <f t="shared" si="0"/>
        <v>81650000</v>
      </c>
      <c r="D37" s="6">
        <f t="shared" si="1"/>
        <v>82303200</v>
      </c>
      <c r="E37" s="6" t="s">
        <v>0</v>
      </c>
      <c r="G37" s="33">
        <v>32660</v>
      </c>
      <c r="H37" s="33">
        <v>2500</v>
      </c>
      <c r="I37" s="33">
        <v>2800</v>
      </c>
      <c r="J37" s="148">
        <v>0.1</v>
      </c>
      <c r="L37" s="16" t="s">
        <v>653</v>
      </c>
    </row>
    <row r="38" spans="2:12" ht="14.25">
      <c r="B38" s="7" t="s">
        <v>552</v>
      </c>
      <c r="C38" s="6">
        <f t="shared" si="0"/>
        <v>14728000</v>
      </c>
      <c r="D38" s="6">
        <f t="shared" si="1"/>
        <v>15148800</v>
      </c>
      <c r="E38" s="6" t="s">
        <v>0</v>
      </c>
      <c r="G38" s="33">
        <v>5260</v>
      </c>
      <c r="H38" s="33">
        <v>2800</v>
      </c>
      <c r="I38" s="33">
        <v>3200</v>
      </c>
      <c r="J38" s="148">
        <v>0.1</v>
      </c>
      <c r="L38" s="16" t="s">
        <v>654</v>
      </c>
    </row>
    <row r="39" spans="2:12" ht="14.25">
      <c r="B39" s="7" t="s">
        <v>553</v>
      </c>
      <c r="C39" s="6">
        <f t="shared" si="0"/>
        <v>43540000</v>
      </c>
      <c r="D39" s="6">
        <f t="shared" si="1"/>
        <v>33588000</v>
      </c>
      <c r="E39" s="6">
        <f>+D39-C39</f>
        <v>-9952000</v>
      </c>
      <c r="G39" s="33">
        <v>124400</v>
      </c>
      <c r="H39" s="33">
        <v>350</v>
      </c>
      <c r="I39" s="33">
        <v>300</v>
      </c>
      <c r="J39" s="148">
        <v>0.1</v>
      </c>
      <c r="L39" s="16" t="s">
        <v>655</v>
      </c>
    </row>
    <row r="40" ht="14.25">
      <c r="L40" s="16" t="s">
        <v>656</v>
      </c>
    </row>
    <row r="41" spans="4:5" ht="14.25">
      <c r="D41" s="17"/>
      <c r="E41" s="17"/>
    </row>
    <row r="42" spans="1:5" ht="14.25">
      <c r="A42" s="29"/>
      <c r="B42" s="29"/>
      <c r="C42" s="24"/>
      <c r="D42" s="17"/>
      <c r="E42" s="17"/>
    </row>
    <row r="43" spans="1:5" ht="14.25">
      <c r="A43" s="29"/>
      <c r="B43" s="29"/>
      <c r="C43" s="24"/>
      <c r="D43" s="17"/>
      <c r="E43" s="17"/>
    </row>
    <row r="44" spans="1:5" ht="15">
      <c r="A44" s="10"/>
      <c r="B44" s="11" t="s">
        <v>554</v>
      </c>
      <c r="C44" s="8"/>
      <c r="D44" s="174">
        <f>SUM(D47:D50)</f>
        <v>132342823</v>
      </c>
      <c r="E44" s="174">
        <f>SUM(E47:E50)</f>
        <v>185444000</v>
      </c>
    </row>
    <row r="45" spans="1:5" ht="14.25">
      <c r="A45" s="29"/>
      <c r="B45" s="29"/>
      <c r="C45" s="24"/>
      <c r="D45" s="139"/>
      <c r="E45" s="139"/>
    </row>
    <row r="46" spans="1:5" ht="15.75">
      <c r="A46" s="29"/>
      <c r="B46" s="175" t="s">
        <v>563</v>
      </c>
      <c r="C46" s="175" t="s">
        <v>564</v>
      </c>
      <c r="D46" s="176" t="s">
        <v>154</v>
      </c>
      <c r="E46" s="176" t="s">
        <v>435</v>
      </c>
    </row>
    <row r="47" spans="1:6" ht="15">
      <c r="A47" s="29"/>
      <c r="B47" s="172" t="s">
        <v>555</v>
      </c>
      <c r="C47" s="172" t="s">
        <v>556</v>
      </c>
      <c r="D47" s="173">
        <v>26583000</v>
      </c>
      <c r="E47" s="173">
        <v>32656000</v>
      </c>
      <c r="F47" s="16" t="s">
        <v>797</v>
      </c>
    </row>
    <row r="48" spans="1:6" ht="15">
      <c r="A48" s="29"/>
      <c r="B48" s="172" t="s">
        <v>557</v>
      </c>
      <c r="C48" s="172" t="s">
        <v>558</v>
      </c>
      <c r="D48" s="173">
        <v>36526325</v>
      </c>
      <c r="E48" s="173">
        <v>45262000</v>
      </c>
      <c r="F48" s="16" t="s">
        <v>797</v>
      </c>
    </row>
    <row r="49" spans="1:6" ht="15">
      <c r="A49" s="29"/>
      <c r="B49" s="172" t="s">
        <v>559</v>
      </c>
      <c r="C49" s="172" t="s">
        <v>560</v>
      </c>
      <c r="D49" s="173">
        <v>45623598</v>
      </c>
      <c r="E49" s="173">
        <v>62526000</v>
      </c>
      <c r="F49" s="16" t="s">
        <v>797</v>
      </c>
    </row>
    <row r="50" spans="1:6" ht="15">
      <c r="A50" s="29"/>
      <c r="B50" s="172" t="s">
        <v>561</v>
      </c>
      <c r="C50" s="172" t="s">
        <v>562</v>
      </c>
      <c r="D50" s="173">
        <v>23609900</v>
      </c>
      <c r="E50" s="173">
        <v>45000000</v>
      </c>
      <c r="F50" s="16" t="s">
        <v>797</v>
      </c>
    </row>
    <row r="51" spans="1:5" ht="14.25">
      <c r="A51" s="29"/>
      <c r="B51" s="29"/>
      <c r="C51" s="24"/>
      <c r="D51" s="17"/>
      <c r="E51" s="17"/>
    </row>
    <row r="52" spans="1:5" ht="14.25">
      <c r="A52" s="29"/>
      <c r="B52" s="29"/>
      <c r="C52" s="24"/>
      <c r="D52" s="17"/>
      <c r="E52" s="17"/>
    </row>
    <row r="53" spans="1:5" ht="14.25">
      <c r="A53" s="29"/>
      <c r="B53" s="29"/>
      <c r="C53" s="24"/>
      <c r="D53" s="17"/>
      <c r="E53" s="17"/>
    </row>
    <row r="54" spans="1:5" ht="14.25">
      <c r="A54" s="29"/>
      <c r="B54" s="29"/>
      <c r="C54" s="24"/>
      <c r="D54" s="17"/>
      <c r="E54" s="17"/>
    </row>
    <row r="55" spans="1:5" ht="14.25">
      <c r="A55" s="29"/>
      <c r="B55" s="29"/>
      <c r="C55" s="24"/>
      <c r="D55" s="17"/>
      <c r="E55" s="17"/>
    </row>
    <row r="56" spans="1:5" ht="14.25">
      <c r="A56" s="29"/>
      <c r="B56" s="29"/>
      <c r="C56" s="24"/>
      <c r="D56" s="17"/>
      <c r="E56" s="17"/>
    </row>
    <row r="57" spans="1:5" ht="14.25">
      <c r="A57" s="29"/>
      <c r="B57" s="29"/>
      <c r="C57" s="24"/>
      <c r="D57" s="17"/>
      <c r="E57" s="17"/>
    </row>
    <row r="58" spans="1:5" ht="14.25">
      <c r="A58" s="29"/>
      <c r="B58" s="29"/>
      <c r="C58" s="24"/>
      <c r="D58" s="17"/>
      <c r="E58" s="17"/>
    </row>
    <row r="59" spans="1:5" ht="14.25">
      <c r="A59" s="29"/>
      <c r="B59" s="29"/>
      <c r="C59" s="24"/>
      <c r="D59" s="17"/>
      <c r="E59" s="17"/>
    </row>
    <row r="60" spans="1:5" ht="14.25">
      <c r="A60" s="29"/>
      <c r="B60" s="29"/>
      <c r="C60" s="24"/>
      <c r="D60" s="17"/>
      <c r="E60" s="17"/>
    </row>
    <row r="61" spans="1:5" ht="14.25">
      <c r="A61" s="29"/>
      <c r="B61" s="29"/>
      <c r="C61" s="24"/>
      <c r="D61" s="17"/>
      <c r="E61" s="17"/>
    </row>
    <row r="62" spans="3:5" ht="14.25">
      <c r="C62" s="17"/>
      <c r="D62" s="17"/>
      <c r="E62" s="17"/>
    </row>
    <row r="63" spans="3:11" s="117" customFormat="1" ht="14.25">
      <c r="C63" s="115"/>
      <c r="D63" s="115"/>
      <c r="E63" s="115"/>
      <c r="K63" s="115"/>
    </row>
    <row r="64" spans="3:11" s="117" customFormat="1" ht="14.25">
      <c r="C64" s="115"/>
      <c r="D64" s="115"/>
      <c r="E64" s="115"/>
      <c r="K64" s="115"/>
    </row>
    <row r="65" spans="3:11" s="117" customFormat="1" ht="14.25">
      <c r="C65" s="115"/>
      <c r="D65" s="115"/>
      <c r="E65" s="115"/>
      <c r="K65" s="115"/>
    </row>
    <row r="66" spans="3:5" ht="14.25">
      <c r="C66" s="17"/>
      <c r="D66" s="17"/>
      <c r="E66" s="17"/>
    </row>
    <row r="67" spans="3:5" ht="14.25">
      <c r="C67" s="17"/>
      <c r="D67" s="17"/>
      <c r="E67" s="17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user</cp:lastModifiedBy>
  <cp:lastPrinted>2012-12-13T16:24:44Z</cp:lastPrinted>
  <dcterms:created xsi:type="dcterms:W3CDTF">2010-08-14T15:22:01Z</dcterms:created>
  <dcterms:modified xsi:type="dcterms:W3CDTF">2016-05-12T01:26:00Z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