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999" firstSheet="1" activeTab="9"/>
  </bookViews>
  <sheets>
    <sheet name="Bal prueba 010115" sheetId="1" state="hidden" r:id="rId1"/>
    <sheet name="Bal prueba 311215" sheetId="2" r:id="rId2"/>
    <sheet name="Bal prueba 311216" sheetId="3" r:id="rId3"/>
    <sheet name="ESF" sheetId="4" r:id="rId4"/>
    <sheet name="ERI" sheetId="5" r:id="rId5"/>
    <sheet name="Cam pat" sheetId="6" r:id="rId6"/>
    <sheet name="Flujos indirecto" sheetId="7" r:id="rId7"/>
    <sheet name="Flujos directo" sheetId="8" state="hidden" r:id="rId8"/>
    <sheet name="Hojas flujo" sheetId="9" state="hidden" r:id="rId9"/>
    <sheet name="Notas" sheetId="10" r:id="rId10"/>
    <sheet name="Efectivo" sheetId="11" state="hidden" r:id="rId11"/>
    <sheet name="Inversiones" sheetId="12" state="hidden" r:id="rId12"/>
    <sheet name="Deudores" sheetId="13" state="hidden" r:id="rId13"/>
    <sheet name="Inventarios" sheetId="14" state="hidden" r:id="rId14"/>
    <sheet name="PPYE" sheetId="15" state="hidden" r:id="rId15"/>
    <sheet name="Otros activos" sheetId="16" state="hidden" r:id="rId16"/>
    <sheet name="Leasing" sheetId="17" state="hidden" r:id="rId17"/>
    <sheet name="Pasivos" sheetId="18" state="hidden" r:id="rId18"/>
    <sheet name="Laboral" sheetId="19" state="hidden" r:id="rId19"/>
    <sheet name="Imp diferidos" sheetId="20" state="hidden" r:id="rId20"/>
    <sheet name="Patrimonio" sheetId="21" state="hidden" r:id="rId21"/>
  </sheets>
  <definedNames>
    <definedName name="_xlnm.Print_Area" localSheetId="4">'ERI'!$B$1:$D$33</definedName>
    <definedName name="_xlnm.Print_Area" localSheetId="3">'ESF'!$B$1:$E$43</definedName>
    <definedName name="_xlnm.Print_Area" localSheetId="7">'Flujos directo'!$A$1:$C$43</definedName>
    <definedName name="_xlnm.Print_Area" localSheetId="6">'Flujos indirecto'!$B$1:$D$45</definedName>
  </definedNames>
  <calcPr fullCalcOnLoad="1"/>
</workbook>
</file>

<file path=xl/comments12.xml><?xml version="1.0" encoding="utf-8"?>
<comments xmlns="http://schemas.openxmlformats.org/spreadsheetml/2006/main">
  <authors>
    <author>MiPC</author>
  </authors>
  <commentList>
    <comment ref="E9" authorId="0">
      <text>
        <r>
          <rPr>
            <b/>
            <sz val="9"/>
            <rFont val="Tahoma"/>
            <family val="2"/>
          </rPr>
          <t>Remedición al costo</t>
        </r>
      </text>
    </comment>
    <comment ref="E7" authorId="0">
      <text>
        <r>
          <rPr>
            <b/>
            <sz val="9"/>
            <rFont val="Tahoma"/>
            <family val="2"/>
          </rPr>
          <t>Valor razonable</t>
        </r>
      </text>
    </comment>
    <comment ref="E8" authorId="0">
      <text>
        <r>
          <rPr>
            <b/>
            <sz val="9"/>
            <rFont val="Tahoma"/>
            <family val="2"/>
          </rPr>
          <t>Valor razonable</t>
        </r>
      </text>
    </comment>
    <comment ref="E11" authorId="0">
      <text>
        <r>
          <rPr>
            <b/>
            <sz val="9"/>
            <rFont val="Tahoma"/>
            <family val="2"/>
          </rPr>
          <t>Valor en PCGA como costo atribuido</t>
        </r>
      </text>
    </comment>
    <comment ref="F7" authorId="0">
      <text>
        <r>
          <rPr>
            <b/>
            <sz val="9"/>
            <rFont val="Tahoma"/>
            <family val="2"/>
          </rPr>
          <t>Valor razonable</t>
        </r>
      </text>
    </comment>
    <comment ref="G7" authorId="0">
      <text>
        <r>
          <rPr>
            <b/>
            <sz val="9"/>
            <rFont val="Tahoma"/>
            <family val="2"/>
          </rPr>
          <t>Valor razonable</t>
        </r>
      </text>
    </comment>
    <comment ref="F8" authorId="0">
      <text>
        <r>
          <rPr>
            <b/>
            <sz val="9"/>
            <rFont val="Tahoma"/>
            <family val="2"/>
          </rPr>
          <t>Valor razonable</t>
        </r>
      </text>
    </comment>
    <comment ref="G8" authorId="0">
      <text>
        <r>
          <rPr>
            <b/>
            <sz val="9"/>
            <rFont val="Tahoma"/>
            <family val="2"/>
          </rPr>
          <t>Valor razonable</t>
        </r>
      </text>
    </comment>
  </commentList>
</comments>
</file>

<file path=xl/comments13.xml><?xml version="1.0" encoding="utf-8"?>
<comments xmlns="http://schemas.openxmlformats.org/spreadsheetml/2006/main">
  <authors>
    <author>MiPC</author>
  </authors>
  <commentList>
    <comment ref="C22" authorId="0">
      <text>
        <r>
          <rPr>
            <b/>
            <sz val="9"/>
            <rFont val="Tahoma"/>
            <family val="2"/>
          </rPr>
          <t>Se ha vendido mercancía a plazos (36 meses) valor original $390 millones, altura del pago cuota No 6, Vr mercancía de contado $ 300 millones</t>
        </r>
        <r>
          <rPr>
            <sz val="9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9"/>
            <rFont val="Tahoma"/>
            <family val="2"/>
          </rPr>
          <t>Se ha vendido mercancía a plazos (36 meses) valor original $390 millones, altura del pago cuota No 6, Vr mercancía de contado $ 300 millones</t>
        </r>
        <r>
          <rPr>
            <sz val="9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9"/>
            <rFont val="Tahoma"/>
            <family val="2"/>
          </rPr>
          <t>Se ha vendido mercancía a plazos (36 meses) valor original $390 millones, altura del pago cuota No 6, Vr mercancía de contado $ 300 millones</t>
        </r>
        <r>
          <rPr>
            <sz val="9"/>
            <rFont val="Tahoma"/>
            <family val="2"/>
          </rPr>
          <t xml:space="preserve">
</t>
        </r>
      </text>
    </comment>
    <comment ref="C47" authorId="0">
      <text>
        <r>
          <rPr>
            <b/>
            <sz val="9"/>
            <rFont val="Tahoma"/>
            <family val="2"/>
          </rPr>
          <t>Se ha vendido mercancía a plazos (36 meses) valor original $390 millones, altura del pago cuota No 6, Vr mercancía de contado $ 300 millones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<sst xmlns="http://schemas.openxmlformats.org/spreadsheetml/2006/main" count="2066" uniqueCount="1117">
  <si>
    <t xml:space="preserve"> </t>
  </si>
  <si>
    <t>Detalle cuenta</t>
  </si>
  <si>
    <t>Tasa</t>
  </si>
  <si>
    <t>EA</t>
  </si>
  <si>
    <t>Totales</t>
  </si>
  <si>
    <t>Cuentas por cobrar</t>
  </si>
  <si>
    <t xml:space="preserve">Anticipos </t>
  </si>
  <si>
    <t>Cartera Contable</t>
  </si>
  <si>
    <t>Deterioro</t>
  </si>
  <si>
    <t>Total Anticipos</t>
  </si>
  <si>
    <t>Total Inventarios</t>
  </si>
  <si>
    <t>Muebles y enseres</t>
  </si>
  <si>
    <t>Equipo de computo</t>
  </si>
  <si>
    <t>Total PPYE</t>
  </si>
  <si>
    <t>N/A</t>
  </si>
  <si>
    <t xml:space="preserve">Inventarios </t>
  </si>
  <si>
    <t>Gastos pagados por anticipado</t>
  </si>
  <si>
    <t>Cargos Diferidos</t>
  </si>
  <si>
    <t>Reservas</t>
  </si>
  <si>
    <t>Intangibles</t>
  </si>
  <si>
    <t>Utilidad  del ejercicio</t>
  </si>
  <si>
    <t>Resultados de ejercicios anteriores</t>
  </si>
  <si>
    <t>Inversiones</t>
  </si>
  <si>
    <t>Propiedad, planta y equipo</t>
  </si>
  <si>
    <t>Cargos diferidos</t>
  </si>
  <si>
    <t>Pasivos</t>
  </si>
  <si>
    <t>Obligaciones financieras</t>
  </si>
  <si>
    <t>Obligaciones laborales</t>
  </si>
  <si>
    <t>Patrimonio</t>
  </si>
  <si>
    <t xml:space="preserve">Ajustes </t>
  </si>
  <si>
    <t>Detalle</t>
  </si>
  <si>
    <t>Provisión de inventarios</t>
  </si>
  <si>
    <t>Retención en la fuente</t>
  </si>
  <si>
    <t>Reclasificación</t>
  </si>
  <si>
    <t>Industria y comercio por pagar</t>
  </si>
  <si>
    <t xml:space="preserve">Litigios y demandas </t>
  </si>
  <si>
    <t>Resumen de litigios y demandas</t>
  </si>
  <si>
    <t>Demandas laborales</t>
  </si>
  <si>
    <t>Demandas civiles ordinarias</t>
  </si>
  <si>
    <t>Total patrimonio</t>
  </si>
  <si>
    <t>Flujo de pagos estimados</t>
  </si>
  <si>
    <t>Año 1</t>
  </si>
  <si>
    <t>Año 2</t>
  </si>
  <si>
    <t>Año 3</t>
  </si>
  <si>
    <t>Año 4</t>
  </si>
  <si>
    <t>Año 5</t>
  </si>
  <si>
    <t>Vr Nominal</t>
  </si>
  <si>
    <t>Base fiscal</t>
  </si>
  <si>
    <t>Detalle de cuenta</t>
  </si>
  <si>
    <t>Diferencia Temporaria</t>
  </si>
  <si>
    <t>Empresa LVG</t>
  </si>
  <si>
    <t>Capital suscrito y pagado</t>
  </si>
  <si>
    <t>Saldo PCGA</t>
  </si>
  <si>
    <t xml:space="preserve">Saldo PCGA </t>
  </si>
  <si>
    <t xml:space="preserve">Avances para gastos de viaje </t>
  </si>
  <si>
    <t>Saldo a favor IVA</t>
  </si>
  <si>
    <t>Total prestamos vinculados</t>
  </si>
  <si>
    <t>Saldos a favor impuestos</t>
  </si>
  <si>
    <t>Total deudores</t>
  </si>
  <si>
    <t>Flujo</t>
  </si>
  <si>
    <t>Intereses</t>
  </si>
  <si>
    <t>Saldo CXC</t>
  </si>
  <si>
    <t>Valor costo PCGA</t>
  </si>
  <si>
    <t>Valorización  PCGA</t>
  </si>
  <si>
    <t>Ajustes</t>
  </si>
  <si>
    <t>Vr Residual</t>
  </si>
  <si>
    <t>Gastos preoperativos</t>
  </si>
  <si>
    <t>Amortización</t>
  </si>
  <si>
    <t>Saldo</t>
  </si>
  <si>
    <t>EM</t>
  </si>
  <si>
    <t>Proveedores</t>
  </si>
  <si>
    <t>Nombre del empleado</t>
  </si>
  <si>
    <t>Vacaciones</t>
  </si>
  <si>
    <t>Ingreso</t>
  </si>
  <si>
    <t>ene de 99</t>
  </si>
  <si>
    <t>ene de 06</t>
  </si>
  <si>
    <t>ene de 90</t>
  </si>
  <si>
    <t>ene de 70</t>
  </si>
  <si>
    <t>PCGA</t>
  </si>
  <si>
    <t>Revalorización patrimonio</t>
  </si>
  <si>
    <t>Total activos</t>
  </si>
  <si>
    <t>Total pasivos</t>
  </si>
  <si>
    <t>Total pasivos y patrimonio</t>
  </si>
  <si>
    <t>Total</t>
  </si>
  <si>
    <t>Efectivo y equivalentes</t>
  </si>
  <si>
    <t>Estado de situación financiera</t>
  </si>
  <si>
    <t>Activos por impuestos corrientes</t>
  </si>
  <si>
    <t>Propiedades de inversión</t>
  </si>
  <si>
    <t>Origen</t>
  </si>
  <si>
    <t>Activo x impuestos diferidos</t>
  </si>
  <si>
    <t>Pasivos x impuestos diferidos</t>
  </si>
  <si>
    <t>Cliente X</t>
  </si>
  <si>
    <t>Cliente Z</t>
  </si>
  <si>
    <t>Cliente T</t>
  </si>
  <si>
    <t>Cliente P</t>
  </si>
  <si>
    <t>Beneficios a los empleados</t>
  </si>
  <si>
    <t>Año 2013</t>
  </si>
  <si>
    <t>Año 2014</t>
  </si>
  <si>
    <t>Año 2015</t>
  </si>
  <si>
    <t>Año 2012</t>
  </si>
  <si>
    <t>Año 2011</t>
  </si>
  <si>
    <t>Año 2010</t>
  </si>
  <si>
    <t>Año 2009</t>
  </si>
  <si>
    <t>Materia prima</t>
  </si>
  <si>
    <t>Productos terminados</t>
  </si>
  <si>
    <t>Inventario tipo 1</t>
  </si>
  <si>
    <t>Inventario tipo 2</t>
  </si>
  <si>
    <t>Inventario tipo 3</t>
  </si>
  <si>
    <t>Inventario tipo 4</t>
  </si>
  <si>
    <t>Inventario tipo 5</t>
  </si>
  <si>
    <t>Inventario tipo 6</t>
  </si>
  <si>
    <t xml:space="preserve">Publicidad </t>
  </si>
  <si>
    <t>Pasivos por provisiones</t>
  </si>
  <si>
    <t>Cesantías</t>
  </si>
  <si>
    <t>Int cesantías</t>
  </si>
  <si>
    <t>Leonardo</t>
  </si>
  <si>
    <t>Esther</t>
  </si>
  <si>
    <t>Camila</t>
  </si>
  <si>
    <t>Ángela</t>
  </si>
  <si>
    <t>Fondo Común Ordinario Investment</t>
  </si>
  <si>
    <t>Fiducia 01587- recaudo</t>
  </si>
  <si>
    <t>Novillos para engorde</t>
  </si>
  <si>
    <t>Semovientes</t>
  </si>
  <si>
    <t>Pérdidas fiscales x compensar</t>
  </si>
  <si>
    <t>Exceso de presuntiva sobre renta líquida</t>
  </si>
  <si>
    <t>Activos biológicos</t>
  </si>
  <si>
    <t>Prestamos al Gerente</t>
  </si>
  <si>
    <t>Prestamos gerente - partes relacionadas</t>
  </si>
  <si>
    <t>Total Efectivo y equivalentes</t>
  </si>
  <si>
    <t>leovarong@yahoo.com</t>
  </si>
  <si>
    <t>Impuesto de renta por pagar</t>
  </si>
  <si>
    <t>Parafiscales por pagar</t>
  </si>
  <si>
    <t>Mejoras en propiedad ajena</t>
  </si>
  <si>
    <t>Saldo a favor CREE</t>
  </si>
  <si>
    <t>Año 6</t>
  </si>
  <si>
    <t>Interés</t>
  </si>
  <si>
    <t>Pólizas de seguros - Todo riesgo empresa</t>
  </si>
  <si>
    <t>Provisión- C x Cobrar (deterioro)</t>
  </si>
  <si>
    <t>Impuestos diferidos por renta y GO</t>
  </si>
  <si>
    <t>Impuestos diferidos por CREE</t>
  </si>
  <si>
    <t>Saldo Colgaap</t>
  </si>
  <si>
    <t>Valor inicial</t>
  </si>
  <si>
    <t>Materia prima 1</t>
  </si>
  <si>
    <t>Materia prima 2</t>
  </si>
  <si>
    <t>Materia prima 3</t>
  </si>
  <si>
    <t>Saldo NIIF</t>
  </si>
  <si>
    <t>PUC</t>
  </si>
  <si>
    <t>Arrendamientos</t>
  </si>
  <si>
    <t>Aportes pensión</t>
  </si>
  <si>
    <t>Transportes y fletes</t>
  </si>
  <si>
    <t>Para mantenimiento de M y E</t>
  </si>
  <si>
    <t>Año 0</t>
  </si>
  <si>
    <t>jul 1 de 99</t>
  </si>
  <si>
    <t>dic 3 de 70</t>
  </si>
  <si>
    <t>feb 8 de 90</t>
  </si>
  <si>
    <t>Periodos pagos</t>
  </si>
  <si>
    <t>Corte</t>
  </si>
  <si>
    <t>Sueldo base esperado</t>
  </si>
  <si>
    <t>21 oficina</t>
  </si>
  <si>
    <t>17 operarios</t>
  </si>
  <si>
    <t>Pasivo</t>
  </si>
  <si>
    <t>Damodaran</t>
  </si>
  <si>
    <t>Inversiones en instrumentos de patrimonio</t>
  </si>
  <si>
    <t>Prestamos y partidas por cobrar (detalle)</t>
  </si>
  <si>
    <t>Calculo del deterioro de cartera- NIIF</t>
  </si>
  <si>
    <t>Desglose de anticipos de impuestos o saldos a favor</t>
  </si>
  <si>
    <t>Desglose de prestamos vinculados</t>
  </si>
  <si>
    <t>Tabla de amortización préstamo gerente</t>
  </si>
  <si>
    <t>Nuevo Saldo NIIF</t>
  </si>
  <si>
    <t>Valor NIIF</t>
  </si>
  <si>
    <t>Base Contable NIIF</t>
  </si>
  <si>
    <t>Cuenta cte. Banco Bogotá</t>
  </si>
  <si>
    <t>Cuenta cte. Bancolombia</t>
  </si>
  <si>
    <t>Ir al balance</t>
  </si>
  <si>
    <t>Ir a hoja de ajustes</t>
  </si>
  <si>
    <t>Consultas mail</t>
  </si>
  <si>
    <t>Saldo norma local</t>
  </si>
  <si>
    <t>Errores contables</t>
  </si>
  <si>
    <t>Anexo - deudores y cuentas por cobrar</t>
  </si>
  <si>
    <t>Cliente X- ventas a 60 días</t>
  </si>
  <si>
    <t>Cliente Z- ventas a 180 días</t>
  </si>
  <si>
    <t>Anexo - inventarios</t>
  </si>
  <si>
    <t>Desglose de la materia prima</t>
  </si>
  <si>
    <t>Desglose de productos terminados</t>
  </si>
  <si>
    <t>Valor razonable en el punto de recolección</t>
  </si>
  <si>
    <t>Desglose de las inversiones en acciones y cuotas partes</t>
  </si>
  <si>
    <t>Base fiscal de las acciones y cuotas partes</t>
  </si>
  <si>
    <t>Anexo - Propiedad, planta y equipo</t>
  </si>
  <si>
    <t xml:space="preserve">Depreciación Acumulada PCGA </t>
  </si>
  <si>
    <t xml:space="preserve">Vr Neto PCGA </t>
  </si>
  <si>
    <t>Renta Líquida por Recuperación de Deducciones</t>
  </si>
  <si>
    <t>Ganancia Ocasional</t>
  </si>
  <si>
    <t>Anexo - Gastos pagados por anticipado, Cargos diferidos e Intangibles</t>
  </si>
  <si>
    <t>Desglose de gastos pagados por anticipado</t>
  </si>
  <si>
    <t>Desglose de cargos diferidos</t>
  </si>
  <si>
    <t>Anexo - Pasivos</t>
  </si>
  <si>
    <t>Desglose de obligaciones financieras</t>
  </si>
  <si>
    <t>Tabla de amortización remedida por costos por préstamos</t>
  </si>
  <si>
    <t>Periodo</t>
  </si>
  <si>
    <t>Tabla de amortización entidad financiera</t>
  </si>
  <si>
    <t>Amortización costos por préstamos</t>
  </si>
  <si>
    <t>Cuota préstamo</t>
  </si>
  <si>
    <t xml:space="preserve">Tasa </t>
  </si>
  <si>
    <t xml:space="preserve">Desglose de provisiones </t>
  </si>
  <si>
    <t>http://pages.stern.nyu.edu/~adamodar/</t>
  </si>
  <si>
    <t>Desglose de pasivos estimados y provisiones</t>
  </si>
  <si>
    <t>Desglose de cuentas por pagar e impuestos por pagar</t>
  </si>
  <si>
    <t>Volver a pasivos</t>
  </si>
  <si>
    <t>Desglose de obligaciones laborales</t>
  </si>
  <si>
    <t>Anexo - obligaciones laborales (prestaciones sociales)</t>
  </si>
  <si>
    <t>Cálculo bajo normativa colombiana (PCGA)- obligaciones laborales</t>
  </si>
  <si>
    <t>Cálculo bajo NIIF- obligaciones laborales</t>
  </si>
  <si>
    <t>Anexo - Impuestos diferidos</t>
  </si>
  <si>
    <t>Anexo - Patrimonio</t>
  </si>
  <si>
    <t>Ir a Conciliación del patrimonio</t>
  </si>
  <si>
    <t>Días</t>
  </si>
  <si>
    <t>Días a pagar</t>
  </si>
  <si>
    <t>Valor día</t>
  </si>
  <si>
    <t>sep. 5 de 06</t>
  </si>
  <si>
    <t>Cuentas por pagar, proveedores e imp. pagar</t>
  </si>
  <si>
    <t>Tasa tomada de créditos de libranza de Bamivienda</t>
  </si>
  <si>
    <t>Efectivo y equivalentes al efectivo (disponible)</t>
  </si>
  <si>
    <t>Ajuste por cuentas x cobrar rebates</t>
  </si>
  <si>
    <t xml:space="preserve">Cliente P </t>
  </si>
  <si>
    <t>Saldo NIIF PYMES</t>
  </si>
  <si>
    <t>Año 2016</t>
  </si>
  <si>
    <t>Cuota anual</t>
  </si>
  <si>
    <t xml:space="preserve">PCGA  </t>
  </si>
  <si>
    <t xml:space="preserve">PCGA </t>
  </si>
  <si>
    <t>Davivienda - preferencial (0.94%)</t>
  </si>
  <si>
    <t>Ecopetrol (0.22%)</t>
  </si>
  <si>
    <t>Terreno 2- Arrendado a terceras personas</t>
  </si>
  <si>
    <t>Software contabilidad</t>
  </si>
  <si>
    <t>Porción del pasivo de la empresa</t>
  </si>
  <si>
    <t>Promedio 2014</t>
  </si>
  <si>
    <t>PCGA  (incluye ajustes por inflación)</t>
  </si>
  <si>
    <t>Fletes que nos hicieron, pero no nos radicaron la factura.; es un pasivo, cuentas x pagar</t>
  </si>
  <si>
    <t>Prueba</t>
  </si>
  <si>
    <t>Inventario de MP</t>
  </si>
  <si>
    <t>Utilidades acumuladas</t>
  </si>
  <si>
    <t>Otros activos financieros</t>
  </si>
  <si>
    <t>Cuota</t>
  </si>
  <si>
    <t>Anexo - Registros contables para la adopción de las NIIF para PYMES</t>
  </si>
  <si>
    <t xml:space="preserve">Cuentas en participación </t>
  </si>
  <si>
    <t>Subtotal</t>
  </si>
  <si>
    <t>La entidad solo contabiliza, el aporte que realizó en las cuentas en participación</t>
  </si>
  <si>
    <t>Fecha de compra</t>
  </si>
  <si>
    <t>Vida útil Remanente</t>
  </si>
  <si>
    <t>50 años</t>
  </si>
  <si>
    <t>6 años</t>
  </si>
  <si>
    <t>5 años</t>
  </si>
  <si>
    <t>2 años</t>
  </si>
  <si>
    <t>Ene del 2010</t>
  </si>
  <si>
    <t>Ene de 2009</t>
  </si>
  <si>
    <t>Ene de 2011</t>
  </si>
  <si>
    <t>Ene de 2000</t>
  </si>
  <si>
    <t>Mantenimiento de equipos</t>
  </si>
  <si>
    <t>Clic para ver el calculo del impuesto al patrimonio</t>
  </si>
  <si>
    <t>Clic para ver el calculo de los pasivos laborales</t>
  </si>
  <si>
    <t>Ventas del periodo</t>
  </si>
  <si>
    <t>Costo de ventas</t>
  </si>
  <si>
    <t>Margen</t>
  </si>
  <si>
    <t>Junio 15 del año 2012</t>
  </si>
  <si>
    <t>Valor de la compra</t>
  </si>
  <si>
    <t>Vida útil</t>
  </si>
  <si>
    <t>10 años</t>
  </si>
  <si>
    <t>Vr residual</t>
  </si>
  <si>
    <t>OK</t>
  </si>
  <si>
    <t>Norma colombiana</t>
  </si>
  <si>
    <t xml:space="preserve">Venta </t>
  </si>
  <si>
    <t>NIIF PYMES</t>
  </si>
  <si>
    <t xml:space="preserve">Ajuste </t>
  </si>
  <si>
    <t>Gastos x BE</t>
  </si>
  <si>
    <t>Cliente con problemas financieros, embargo 50% deuda, en un año</t>
  </si>
  <si>
    <t>Importe en libros (NIIF)</t>
  </si>
  <si>
    <t>Vehículos en cuentas en participación</t>
  </si>
  <si>
    <t>Provisiones x futuras devoluciones</t>
  </si>
  <si>
    <t>Valor provisión</t>
  </si>
  <si>
    <t>Si es imponible, ponemos menos</t>
  </si>
  <si>
    <t>Si es deducible colocamos más</t>
  </si>
  <si>
    <t>Renta</t>
  </si>
  <si>
    <t>CREE</t>
  </si>
  <si>
    <t>Construcciones Lvg SAS (100%)</t>
  </si>
  <si>
    <t>Vr de la venta</t>
  </si>
  <si>
    <t>Otros activos no financieros</t>
  </si>
  <si>
    <t>Agroindustrias LVG Ltda. (5%)</t>
  </si>
  <si>
    <t>Detalle del contrato de cuentas en participación</t>
  </si>
  <si>
    <t>Depreciación acumulada a dic. 31 de 2014</t>
  </si>
  <si>
    <t>Ingresos financieros</t>
  </si>
  <si>
    <t>Efecto resultados</t>
  </si>
  <si>
    <t>Software de ingeniería</t>
  </si>
  <si>
    <t>Reclasificar como pasivos por impuestos corrientes</t>
  </si>
  <si>
    <t>Tasa de descuento  12 % EA</t>
  </si>
  <si>
    <t>Pasivos por impuestos corrientes</t>
  </si>
  <si>
    <t>Pasivos por impuestos diferidos</t>
  </si>
  <si>
    <t>CDT con Banco Utrahuilca</t>
  </si>
  <si>
    <t>La entidad tomo un CDT a una tasa del 1% EA, en junio 1 de 2014</t>
  </si>
  <si>
    <t xml:space="preserve">CDT </t>
  </si>
  <si>
    <t>Bajo norma colombiana</t>
  </si>
  <si>
    <t>El préstamo se realizó en enero de 2009, no se cobran intereses y este valor será devuelto por cuotas hasta el periodo 2016</t>
  </si>
  <si>
    <t>Cuentas por cobrar clientes</t>
  </si>
  <si>
    <t>Suscripciones a entidades - periodicos, revistas</t>
  </si>
  <si>
    <t>Caso 1</t>
  </si>
  <si>
    <t>La entidad ha suscrito un contrato con ETB, para el suministro de</t>
  </si>
  <si>
    <t>cincuenta computadores, por una mensualidad de arrendamiento</t>
  </si>
  <si>
    <t>de $12.5 millones mensuales más IVA.</t>
  </si>
  <si>
    <t>El plazo del contrato es por tres años, al final del contrato la entidad</t>
  </si>
  <si>
    <t>debe devolver los computadores a ETB</t>
  </si>
  <si>
    <t>El valor razonable de los equipos al inicio del contrato es de $380 millones</t>
  </si>
  <si>
    <t>La entidad vende productos gravados y puede descontarse el IVA, por el canón</t>
  </si>
  <si>
    <t>Caso 2</t>
  </si>
  <si>
    <t>La entidad ha suscrito un leasing de infraestructura con Bankolomvia</t>
  </si>
  <si>
    <t>Con las siguientes condiciones</t>
  </si>
  <si>
    <t>Valor de la cuota</t>
  </si>
  <si>
    <t>Término del contrato</t>
  </si>
  <si>
    <t>15 años</t>
  </si>
  <si>
    <t>Tasa pactada</t>
  </si>
  <si>
    <t>Fecha inicio del contrato</t>
  </si>
  <si>
    <t>enero 1 de 2007</t>
  </si>
  <si>
    <t xml:space="preserve">Al final del contrato, el banco escritura al arrendatario, por un valor </t>
  </si>
  <si>
    <t>adicional de $1.250.000</t>
  </si>
  <si>
    <t>enero 1 de 2013</t>
  </si>
  <si>
    <t>Fiscalmente es operativo</t>
  </si>
  <si>
    <t>Legalmente es operativo</t>
  </si>
  <si>
    <t>NIIF PYMES es financiero</t>
  </si>
  <si>
    <t>TIR</t>
  </si>
  <si>
    <t>Interes</t>
  </si>
  <si>
    <t>Remedición del activo- equipo de computo</t>
  </si>
  <si>
    <t>Fecha de reconocimiento - sección 20</t>
  </si>
  <si>
    <t>Depreciación acumulada</t>
  </si>
  <si>
    <t>Ene de 2013</t>
  </si>
  <si>
    <t>a Dic de 2014</t>
  </si>
  <si>
    <t>Vida útil - 36 meses</t>
  </si>
  <si>
    <t>Valor neto de PPYE a reconocer</t>
  </si>
  <si>
    <t>Pasivo s/n sección 11 y 20</t>
  </si>
  <si>
    <t>Legalmente es financiero</t>
  </si>
  <si>
    <t>VNA</t>
  </si>
  <si>
    <t>PPYE - leasing infraestructura</t>
  </si>
  <si>
    <t>Enero de 2007</t>
  </si>
  <si>
    <t>Reconocimiento de la PPYE- leasing para una bodega</t>
  </si>
  <si>
    <t>Vida útil - 60 años</t>
  </si>
  <si>
    <t xml:space="preserve">PPYE neta </t>
  </si>
  <si>
    <t>Beneficios a corto plazo</t>
  </si>
  <si>
    <t>Beneficios a largo plazo</t>
  </si>
  <si>
    <t>Beneficios postempleo</t>
  </si>
  <si>
    <t>Beneficios por terminación</t>
  </si>
  <si>
    <t>Plazo de pago, es menor a 1 año- valor a pagar, sin descontar</t>
  </si>
  <si>
    <t>Plazo de pago, es mayor a 1 año- valor a pagar, a valor presente</t>
  </si>
  <si>
    <t>Calculo actuarial - VNA</t>
  </si>
  <si>
    <t>Cuando la empresa tiene obligación incondicional a pagarlos</t>
  </si>
  <si>
    <t>Julio 1 de 1999</t>
  </si>
  <si>
    <t>ültimo periodo vacacions</t>
  </si>
  <si>
    <t>Junio 30 de 2012</t>
  </si>
  <si>
    <t>Vacaciones norma colombiana</t>
  </si>
  <si>
    <t>a diciembre 31 de 2014</t>
  </si>
  <si>
    <t>Dias de vacaciones</t>
  </si>
  <si>
    <t>Diciembre 31 de 2014</t>
  </si>
  <si>
    <t>Dias laborados</t>
  </si>
  <si>
    <t>Pasivo bajo normativa colombiana</t>
  </si>
  <si>
    <t>Liuidación vacaciones bajo NIIF</t>
  </si>
  <si>
    <t>Fecha probable de pago</t>
  </si>
  <si>
    <t>Salario base en esa fecha</t>
  </si>
  <si>
    <t>Dias de descanso</t>
  </si>
  <si>
    <t>15 dias habiles- 19 dias corrido</t>
  </si>
  <si>
    <t>Valor del dia</t>
  </si>
  <si>
    <t>Valor del pasivo x vacaciones</t>
  </si>
  <si>
    <t>Cada cinco años 1 salario, cada diez años 1.5 salarios, cada quince años 2 salarios</t>
  </si>
  <si>
    <t>Salario base</t>
  </si>
  <si>
    <t>a los cinco años</t>
  </si>
  <si>
    <t>a los diez años</t>
  </si>
  <si>
    <t>a los quince años</t>
  </si>
  <si>
    <t>ya paso</t>
  </si>
  <si>
    <t>Probable</t>
  </si>
  <si>
    <t>Bonificación</t>
  </si>
  <si>
    <t>Dias</t>
  </si>
  <si>
    <t>El gerente estima que debemos provisionar este valor, por que a la maquina se le hace mantenimiento en febrero.</t>
  </si>
  <si>
    <t>La entidad presenta estadísticas, el 5% de las ventas del periodo, presentan devoluciones de mercancía, la cual es vendida a nuevos clientes</t>
  </si>
  <si>
    <t>CDT</t>
  </si>
  <si>
    <t>Leasing operativos - CAF</t>
  </si>
  <si>
    <t>Valor del crédito $ 2.500 millones; el crédito, fue tomado en enero de 2012, plazo seis años. Costos por préstamos (comisiones y gastos legales) - $ 95,000,000; Se habían registrado como gastos en PCGA 2013. Tasa 12% EA</t>
  </si>
  <si>
    <t>Aportes salud y ARL</t>
  </si>
  <si>
    <t>Ingresos por cobrar</t>
  </si>
  <si>
    <t>Desglose de anticipos y otros</t>
  </si>
  <si>
    <t>DTD</t>
  </si>
  <si>
    <t>Pasivos estimados</t>
  </si>
  <si>
    <t>Valorización de inversiones</t>
  </si>
  <si>
    <t xml:space="preserve">Inversiones </t>
  </si>
  <si>
    <t>NC 2- remedición de inversión por su costo - sección 11</t>
  </si>
  <si>
    <t>Inversión</t>
  </si>
  <si>
    <t>NC 3- reclasificación de inversiones a OAF e inversiones en subsidiarias</t>
  </si>
  <si>
    <t>Inversiones en subsidiarias</t>
  </si>
  <si>
    <t>NC 4- reclasificación de inversiones a efectivo y equivalentes al efectivo</t>
  </si>
  <si>
    <t>Efectivo y equivalentes al efectivo</t>
  </si>
  <si>
    <t>La entidad celebró un contrato de cuentas en participación, con la empresa transportadora ENBIA SAS</t>
  </si>
  <si>
    <t>En el cual la entidad mantiene el 50% en dos tractomulas de carga, las cuales son administradas por la empresa de transporte.</t>
  </si>
  <si>
    <t>Inversiones- cuentas en participación</t>
  </si>
  <si>
    <t>Propiedad, planta y equipo- eq ctas part</t>
  </si>
  <si>
    <t>NC 5- reclasificación y remedición de contratos de cuentas en participación</t>
  </si>
  <si>
    <t>NC 6- reclasificación de intereses causados CDT</t>
  </si>
  <si>
    <t>Cuentas x cobrar - ingresos x cobrar</t>
  </si>
  <si>
    <t>NC 7- reclasificación de inversiones en CDT a otros activos financieros</t>
  </si>
  <si>
    <t>Vr de la venta s/n sección 23</t>
  </si>
  <si>
    <t>Cuentas x cobrar - clientes</t>
  </si>
  <si>
    <t>NC 9- reclasificación de saldos a favor por CREE</t>
  </si>
  <si>
    <t>Cuentas x cobrar - ant. De impuestos</t>
  </si>
  <si>
    <t>Sección 28- beneficio a los empleados</t>
  </si>
  <si>
    <t>Cliente P- hijo de p</t>
  </si>
  <si>
    <t>Cliente con problemas financieros, refinanciación por acuerdo de</t>
  </si>
  <si>
    <t>Importe en libros</t>
  </si>
  <si>
    <t>Importe recuperable bruto</t>
  </si>
  <si>
    <t>VNA del imp recuperable</t>
  </si>
  <si>
    <t>Caso 1 - Cliente T</t>
  </si>
  <si>
    <t>Caso 2 - cliente P</t>
  </si>
  <si>
    <t>Año 2017</t>
  </si>
  <si>
    <t>Año 2018</t>
  </si>
  <si>
    <t>Importe recuperable</t>
  </si>
  <si>
    <t>NC 10- remedición cuenta x cobrar gerencia</t>
  </si>
  <si>
    <t>Cuentas x cobrar - partes relacionadas</t>
  </si>
  <si>
    <t>Cuenta x cobrar - deterioro</t>
  </si>
  <si>
    <t>Inventarios - deterioro</t>
  </si>
  <si>
    <t xml:space="preserve">Subasta </t>
  </si>
  <si>
    <t>comisión subasta</t>
  </si>
  <si>
    <t>VR en el punto de cría</t>
  </si>
  <si>
    <t>Dato toma de la experiencia en transacciones pasadas</t>
  </si>
  <si>
    <t>Inventario</t>
  </si>
  <si>
    <t>Activo biológico</t>
  </si>
  <si>
    <t>Valorización de PPYE</t>
  </si>
  <si>
    <t>PPYE</t>
  </si>
  <si>
    <t>Otras cuentas por cobrar - GPA</t>
  </si>
  <si>
    <t>Reclasificamos a PPYE</t>
  </si>
  <si>
    <t>Reclaificamos a intangibles</t>
  </si>
  <si>
    <t>PPYE - mejoras en propiedad ajena</t>
  </si>
  <si>
    <t>Intangibles - software</t>
  </si>
  <si>
    <t>Propiedad, planta y equipo- adquirida CAF</t>
  </si>
  <si>
    <t>Propiedad, planta y equipo- adquirida bajo CAF</t>
  </si>
  <si>
    <t>Pasivo financiero - contrato arrend. Financiero</t>
  </si>
  <si>
    <t>Pasivo financiero - CAF</t>
  </si>
  <si>
    <t>Pasivo financiero</t>
  </si>
  <si>
    <t>Bancos</t>
  </si>
  <si>
    <t>Cta 210505001</t>
  </si>
  <si>
    <t>Cta 210505097</t>
  </si>
  <si>
    <t>Cuentas x pagar - impuestos x pagar</t>
  </si>
  <si>
    <t>Cuenta x pagar - beneficio a empleados</t>
  </si>
  <si>
    <t>Cuentas x pagar - causadas</t>
  </si>
  <si>
    <t>Pasivo estimado y provisión</t>
  </si>
  <si>
    <t>En que instancia va el proceso</t>
  </si>
  <si>
    <t>Fallos similares de otros temas</t>
  </si>
  <si>
    <t>Intencion de la entidad</t>
  </si>
  <si>
    <t>Medición</t>
  </si>
  <si>
    <t>Cuanto pagaria</t>
  </si>
  <si>
    <t>Pasivo por provisión</t>
  </si>
  <si>
    <t>Probabilidad de que existan devoluciones</t>
  </si>
  <si>
    <t>Reclasificadas a utilidades acumuladas</t>
  </si>
  <si>
    <t>NC 35- reclasificación de cuentas del patrimonio</t>
  </si>
  <si>
    <t>Reserva legal</t>
  </si>
  <si>
    <t>Revalorización del patrimonio</t>
  </si>
  <si>
    <t>Impuesto diferido</t>
  </si>
  <si>
    <t>IL</t>
  </si>
  <si>
    <t>Costo fiscal</t>
  </si>
  <si>
    <t xml:space="preserve">D42*10% 25% 15% </t>
  </si>
  <si>
    <t>1- Tomamos el ILA y ILP</t>
  </si>
  <si>
    <t>2- Tomamos la BFA y BFP</t>
  </si>
  <si>
    <t>BFA</t>
  </si>
  <si>
    <t>BFP</t>
  </si>
  <si>
    <t>3- Diferencia temporaria 1-2</t>
  </si>
  <si>
    <t>4- DT entre DTI y DTD</t>
  </si>
  <si>
    <t>DTI</t>
  </si>
  <si>
    <t>PID</t>
  </si>
  <si>
    <t>AID</t>
  </si>
  <si>
    <t>$$$$$$$$$$$$$</t>
  </si>
  <si>
    <t>ILA &gt; BFA = DTI, PID</t>
  </si>
  <si>
    <t>ILA &lt; BFA = DTD, AID</t>
  </si>
  <si>
    <t>ILP &gt; BFP = DTD, AID</t>
  </si>
  <si>
    <t>ILP &lt; BFP = DTI, PID</t>
  </si>
  <si>
    <t>5- DT x Tarifa imponible</t>
  </si>
  <si>
    <t>25%- 25% + 9%- 15%- 10%- 20%- 0%........</t>
  </si>
  <si>
    <t>6- Sea feliz</t>
  </si>
  <si>
    <t>Ojo con la reforma tributaria</t>
  </si>
  <si>
    <t>NC 36- reconocimiento de impuestos diferidos</t>
  </si>
  <si>
    <t>Pasivo por impuesto diferido (renta y CREE)</t>
  </si>
  <si>
    <t>NC 1- reclasificación de valorizaciones de inversiones y superávit</t>
  </si>
  <si>
    <t>Superávit x valorización</t>
  </si>
  <si>
    <t>NC 8- remedición de cuentas x cobrar con financiación implícita</t>
  </si>
  <si>
    <t>NC 11- remedición deterioro de c/c</t>
  </si>
  <si>
    <t>NC 34- reconocimiento de provisiones por garantías</t>
  </si>
  <si>
    <t>Provisión por devoluciones o garantías</t>
  </si>
  <si>
    <t xml:space="preserve">Ajustes por descuentos </t>
  </si>
  <si>
    <t>Pagaría impuesto si esto sucediese</t>
  </si>
  <si>
    <t>Deducción</t>
  </si>
  <si>
    <t>Menor pasivo por descuentos a proveedores</t>
  </si>
  <si>
    <t>Anexo - efectivo y equivalente al efectivo a enero 1 de 2015</t>
  </si>
  <si>
    <t>A Enero 1 de 2015</t>
  </si>
  <si>
    <t>A Dic. 31 de 2015</t>
  </si>
  <si>
    <t>Saldo inicial ESFA</t>
  </si>
  <si>
    <t>Resultados ejercicios anteriores- ajustes</t>
  </si>
  <si>
    <t>Débito</t>
  </si>
  <si>
    <t>Crédito</t>
  </si>
  <si>
    <t>Saldo final</t>
  </si>
  <si>
    <t>Cuentas de resultado</t>
  </si>
  <si>
    <t>Venta de ganado</t>
  </si>
  <si>
    <t>Devoluciones en ventas</t>
  </si>
  <si>
    <t>Diferencia en cambio</t>
  </si>
  <si>
    <t>Descuentos comerciales condicionados</t>
  </si>
  <si>
    <t>Dividendos</t>
  </si>
  <si>
    <t>Gastos de personal</t>
  </si>
  <si>
    <t>Otros gastos</t>
  </si>
  <si>
    <t>Impuestos de ICA, predial y GMF</t>
  </si>
  <si>
    <t xml:space="preserve">Arrendamientos </t>
  </si>
  <si>
    <t>Depreciaciones</t>
  </si>
  <si>
    <t>Pólizas y seguros</t>
  </si>
  <si>
    <t>Gastos por litigios</t>
  </si>
  <si>
    <t>Amortización intangibles</t>
  </si>
  <si>
    <t>Gastos financieros</t>
  </si>
  <si>
    <t>Utilidad del ejercicio</t>
  </si>
  <si>
    <t>Subtotal otros activos financieros</t>
  </si>
  <si>
    <t>Total instrumentos de patrimonio</t>
  </si>
  <si>
    <t>Subtotal inversiones en subsidiarias</t>
  </si>
  <si>
    <t>Anexo Instrumentos de patrimonio</t>
  </si>
  <si>
    <t>Saldo ESFA</t>
  </si>
  <si>
    <t>Costo 2649</t>
  </si>
  <si>
    <t>Valorización 2649</t>
  </si>
  <si>
    <t>Saldo 31/12/2015</t>
  </si>
  <si>
    <t>Saldo 31/12/2016</t>
  </si>
  <si>
    <t>No se presentaron movimientos en el rubro, salvo por el ajuste a su valor razonable</t>
  </si>
  <si>
    <t>No se presentaron movimientos en el rubro</t>
  </si>
  <si>
    <t>Registros contables</t>
  </si>
  <si>
    <t>Variación del valor razonable de activos financieros</t>
  </si>
  <si>
    <t>Ingresos y ganancias</t>
  </si>
  <si>
    <t>Costos, gastos y pérdidas</t>
  </si>
  <si>
    <t>Resultado por variación del valor razonable de activos financieros</t>
  </si>
  <si>
    <t>Registro contable año 2015</t>
  </si>
  <si>
    <t>Ingreso por intereses</t>
  </si>
  <si>
    <t xml:space="preserve">Efectivo y equivalente </t>
  </si>
  <si>
    <t xml:space="preserve">Ventas </t>
  </si>
  <si>
    <t>Cuentas por cobrar comerciales</t>
  </si>
  <si>
    <t>Ventas</t>
  </si>
  <si>
    <t>Ventas contado supermercado</t>
  </si>
  <si>
    <t>Ventas contado restaurante</t>
  </si>
  <si>
    <t>Operación discontinuada</t>
  </si>
  <si>
    <t>Cliente Z- mayorista</t>
  </si>
  <si>
    <t>Ingresos por intereses - costo amotizado cliente X</t>
  </si>
  <si>
    <t>Cliente X- largo plazo</t>
  </si>
  <si>
    <t>Acuerdo reestructuración</t>
  </si>
  <si>
    <t>reestructuración a cinco años a partir del 2015</t>
  </si>
  <si>
    <t>Año 2019</t>
  </si>
  <si>
    <t>Ingresos por intereses - costo amotizado deterioro cliente P</t>
  </si>
  <si>
    <t>Inicial</t>
  </si>
  <si>
    <t>Total intereses</t>
  </si>
  <si>
    <t>Venta de bienes y servicios</t>
  </si>
  <si>
    <t xml:space="preserve">Desglose de las cuentas por cobrar </t>
  </si>
  <si>
    <t>Cálculo de la provisión por el método individual- fiscal</t>
  </si>
  <si>
    <t>Provisión PCGA = Fiscal</t>
  </si>
  <si>
    <t>Deterioro ESFA</t>
  </si>
  <si>
    <t>Deterioro 2015</t>
  </si>
  <si>
    <t>Deterioro 2016</t>
  </si>
  <si>
    <t>ESFA</t>
  </si>
  <si>
    <t>CXC partes relacionadas - gerente</t>
  </si>
  <si>
    <t>Registro contable año 2016</t>
  </si>
  <si>
    <t>NC 12- reconocimiento de deterioro de inventarios</t>
  </si>
  <si>
    <t>NC 13- reclasificación de inventarios a activos biológicos</t>
  </si>
  <si>
    <t>NC 14- remedición de activos biológicos por su valor razonable</t>
  </si>
  <si>
    <t>NC 15- Reclasificación de valorizaciones y superávit en PPYE</t>
  </si>
  <si>
    <t>NC 16- Reclasificación del terreno de PPYE a PI</t>
  </si>
  <si>
    <t xml:space="preserve">NC 17- Remedición de PPYE </t>
  </si>
  <si>
    <t>NC 18- Reclasificación de gastos pagados por anticipado a cuentas x cobrar</t>
  </si>
  <si>
    <t>NC 19- Desreconocimiento de cargos diferidos</t>
  </si>
  <si>
    <t>NC 20- Reclasificación de cargos diferidos a PPYE y a Intangibles</t>
  </si>
  <si>
    <t>NC 26- reconocimiento de leasing de infraestructura como PPYE</t>
  </si>
  <si>
    <t>NC 27- remedición de pasivos financieros por costos de transacción</t>
  </si>
  <si>
    <t>NC 28- reclasificación de impuestos por pagar a pasivos x impuestos corrientes</t>
  </si>
  <si>
    <t>NC 29- remedición del pasivo por vacaciones</t>
  </si>
  <si>
    <t>NC 30- reclasificación de pasivos estimados a cuentas x pagar</t>
  </si>
  <si>
    <t>NC 31- desreconocimiento de pasivos estimados x mantenimientos no realizados</t>
  </si>
  <si>
    <t>NC 32- remedición de pasivos por provisiones</t>
  </si>
  <si>
    <t>AÑO 2015</t>
  </si>
  <si>
    <t>AÑO 2016</t>
  </si>
  <si>
    <t>Registro contables año 2015</t>
  </si>
  <si>
    <t>MP</t>
  </si>
  <si>
    <t>MO</t>
  </si>
  <si>
    <t>CIF</t>
  </si>
  <si>
    <t>Total costos de ventas</t>
  </si>
  <si>
    <t>Registro contables año 2016</t>
  </si>
  <si>
    <t>Costos de ventas año 2015</t>
  </si>
  <si>
    <t>MOD</t>
  </si>
  <si>
    <t>Variación de inventarios PT</t>
  </si>
  <si>
    <t>Costo del ganado vendido</t>
  </si>
  <si>
    <t>Costo ganado vendido</t>
  </si>
  <si>
    <t>Variación valor razonable ganado</t>
  </si>
  <si>
    <t>Bancos (compras ganado)</t>
  </si>
  <si>
    <t>Resultado por variación del valor razonable de activos biológicos</t>
  </si>
  <si>
    <t>Desglose de inventario por productos agropecuarios- Activos biológicos</t>
  </si>
  <si>
    <t>Otros costos</t>
  </si>
  <si>
    <t>Costo - deterioro de inventarios (variación)</t>
  </si>
  <si>
    <t>Transporte, imp degüello,</t>
  </si>
  <si>
    <t>Depreciación fiscal 2015</t>
  </si>
  <si>
    <t>Depreciación fiscal 2016</t>
  </si>
  <si>
    <t>Depreciación NIIF 2015</t>
  </si>
  <si>
    <t>Depreciación NIIF 2016</t>
  </si>
  <si>
    <t>Terreno 1- Oficinas administrativas</t>
  </si>
  <si>
    <t xml:space="preserve">Terreno, usado como parqueadero </t>
  </si>
  <si>
    <t>Oficina administrativa</t>
  </si>
  <si>
    <t>Maquinaria</t>
  </si>
  <si>
    <t>Vehículo administrativo</t>
  </si>
  <si>
    <t>Tractomula arrendada a terceros</t>
  </si>
  <si>
    <t>Valor razonable propiedad de inversión 2015</t>
  </si>
  <si>
    <t>Valor razonable propiedad de inversión 2016</t>
  </si>
  <si>
    <t>Desglose de bases fiscales de PPYE - ESFA</t>
  </si>
  <si>
    <t>Desglose de bases fiscales de PPYE - a Dic 31 de 2015</t>
  </si>
  <si>
    <t>Desglose de bases fiscales de PPYE - a Dic 31 de 2016</t>
  </si>
  <si>
    <t>Resultado por variación del valor razonable de propiedades de inversión</t>
  </si>
  <si>
    <t>Registro contables</t>
  </si>
  <si>
    <t>Gastos diversos</t>
  </si>
  <si>
    <t>Gastos mantenimiento</t>
  </si>
  <si>
    <t>Gastos arrendamientos</t>
  </si>
  <si>
    <t>Gastos seguros</t>
  </si>
  <si>
    <t>Mantenimientos</t>
  </si>
  <si>
    <t>NC 21- reconocimiento de PPYE adquirida bajo contrato de arrendamiento financiero</t>
  </si>
  <si>
    <t>Relación de gastos</t>
  </si>
  <si>
    <t>Impuesto a la riqueza</t>
  </si>
  <si>
    <t>Deterioro de cuentas por cobrar</t>
  </si>
  <si>
    <t>Gasto impuesto ganancias cte</t>
  </si>
  <si>
    <t>Gasto impuesto ganancias diferido</t>
  </si>
  <si>
    <t>Cuentas bancarias</t>
  </si>
  <si>
    <t>Carteras colectivas</t>
  </si>
  <si>
    <t>Deterioro- C x Cobrar</t>
  </si>
  <si>
    <t>Acciones Davivienda - preferencial (0.94%)</t>
  </si>
  <si>
    <t>Acciones Ecopetrol (0.22%)</t>
  </si>
  <si>
    <t>Acciones Agroindustrias LVG Ltda. (5%)</t>
  </si>
  <si>
    <t>Acciones Construcciones Lvg SAS (100%)</t>
  </si>
  <si>
    <t>CDT con Banco Vankolomvia</t>
  </si>
  <si>
    <t>Ganado vacuno</t>
  </si>
  <si>
    <t>Intangibles- software</t>
  </si>
  <si>
    <t>Cuentas por pagar</t>
  </si>
  <si>
    <t>Impuestos por pagar</t>
  </si>
  <si>
    <t>Obligaciones con bancos</t>
  </si>
  <si>
    <t xml:space="preserve">Provisión por demandas </t>
  </si>
  <si>
    <t>Deterioro de inventarios</t>
  </si>
  <si>
    <t>Saldos a favor IVA</t>
  </si>
  <si>
    <t>Terreno arrendado</t>
  </si>
  <si>
    <t>Propiedades, planta y equipo</t>
  </si>
  <si>
    <t>Propiedad de inversión</t>
  </si>
  <si>
    <t>Activos intangibles distintos de la plusvalía</t>
  </si>
  <si>
    <t>Total de activos no corrientes</t>
  </si>
  <si>
    <t>Total de activos</t>
  </si>
  <si>
    <t>Pasivo por impuestos diferidos</t>
  </si>
  <si>
    <t>Total de pasivos no corrientes</t>
  </si>
  <si>
    <t>Capital emitido</t>
  </si>
  <si>
    <t>Ganancias acumuladas</t>
  </si>
  <si>
    <t>Patrimonio total</t>
  </si>
  <si>
    <t>ESTADO DE SITUACIÓN FINANCIERA</t>
  </si>
  <si>
    <t>POR LOS PERIODOS TERMINADOS A DIC 31 DE 2016 Y 2015</t>
  </si>
  <si>
    <t>Dic 31, 2016</t>
  </si>
  <si>
    <t>Dic 31, 2015</t>
  </si>
  <si>
    <t>Ingresos de actividades ordinarias</t>
  </si>
  <si>
    <t>Ganancia bruta</t>
  </si>
  <si>
    <t>Otros ingresos</t>
  </si>
  <si>
    <t>Gastos de administración</t>
  </si>
  <si>
    <t>Otras ganancias (pérdidas)</t>
  </si>
  <si>
    <t>Costos financieros</t>
  </si>
  <si>
    <t>Ganancia (pérdida), antes de impuestos</t>
  </si>
  <si>
    <t>Ingreso (gasto) por impuestos</t>
  </si>
  <si>
    <t>Ganancia (pérdida) procedente de operaciones continuadas</t>
  </si>
  <si>
    <t>Ganancia (pérdida) procedente de operaciones discontinuadas</t>
  </si>
  <si>
    <t>Ganancia (pérdida)</t>
  </si>
  <si>
    <t>ESTADO DEL RESULTADO INTEGRAL</t>
  </si>
  <si>
    <t>Ingresos por ventas de restaurante</t>
  </si>
  <si>
    <t>Costos de venta restaurante</t>
  </si>
  <si>
    <t>Gastos por impuesto ganancias</t>
  </si>
  <si>
    <t xml:space="preserve">Saldo inicial </t>
  </si>
  <si>
    <t>Nota adicional</t>
  </si>
  <si>
    <t xml:space="preserve">Flujos de efectivo procedentes de (utilizados en) actividades de operación </t>
  </si>
  <si>
    <t>Ajustes por disminuciones (incrementos) en los inventarios</t>
  </si>
  <si>
    <t>Ajustes por la disminución (incremento) de cuentas por cobrar de origen comercial</t>
  </si>
  <si>
    <t>Ajustes por disminuciones (incrementos) en otras cuentas por cobrar derivadas de las actividades de operación</t>
  </si>
  <si>
    <t>Ajustes por el incremento (disminución) de cuentas por pagar de origen comercial</t>
  </si>
  <si>
    <t>Ajustes por incrementos (disminuciones) en otras cuentas por pagar derivadas de las actividades de operación</t>
  </si>
  <si>
    <t>Ajustes por gastos de depreciación y amortización</t>
  </si>
  <si>
    <t>Ajustes por deterioro de valor (reversiones de pérdidas por deterioro de valor) reconocidas en el resultado del periodo</t>
  </si>
  <si>
    <t>Ajustes por pérdidas (ganancias) del valor razonable</t>
  </si>
  <si>
    <t>Otros ajustes por partidas distintas al efectivo</t>
  </si>
  <si>
    <t>Dividendos pagados</t>
  </si>
  <si>
    <t>Impuestos a las ganancias reembolsados (pagados)</t>
  </si>
  <si>
    <t>Otras entradas (salidas) de efectivo</t>
  </si>
  <si>
    <t>Flujos de efectivo netos procedentes de (utilizados en) actividades de operación</t>
  </si>
  <si>
    <t xml:space="preserve">Flujos de efectivo procedentes de (utilizados en) actividades de inversión </t>
  </si>
  <si>
    <t>Otros cobros por la venta de patrimonio o instrumentos de deuda de otras entidades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</si>
  <si>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</si>
  <si>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</si>
  <si>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</si>
  <si>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</si>
  <si>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Flujos de efectivo netos procedentes de (utilizados en) actividades de inversión</t>
  </si>
  <si>
    <t>Importes procedentes de la emisión de acciones</t>
  </si>
  <si>
    <t>Importes procedentes de préstamos</t>
  </si>
  <si>
    <t>Reembolsos de préstamos</t>
  </si>
  <si>
    <t>Pagos de pasivos por arrendamientos financieros</t>
  </si>
  <si>
    <t>Flujos de efectivo netos procedentes de (utilizados en) actividades de financiación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</si>
  <si>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</si>
  <si>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</si>
  <si>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</si>
  <si>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ESTADO DE FLUJOS DE EFECTIVO</t>
  </si>
  <si>
    <t>ok</t>
  </si>
  <si>
    <t>SF - SI</t>
  </si>
  <si>
    <t>SI -SF</t>
  </si>
  <si>
    <t>ESTADO DE CAMBIOS EN EL PATRIMONIO</t>
  </si>
  <si>
    <t>Saldo inicial (ESFA)</t>
  </si>
  <si>
    <t>A Dic. 31 de 2016</t>
  </si>
  <si>
    <t>Referencia</t>
  </si>
  <si>
    <t>Dividendos recibidos</t>
  </si>
  <si>
    <t>Intereses pagados</t>
  </si>
  <si>
    <t>Intereses recibidos</t>
  </si>
  <si>
    <t>Recursos por ventas de otros activos a largo plazo</t>
  </si>
  <si>
    <t>Compras de otros activos a largo plazo</t>
  </si>
  <si>
    <t>Anticipos de efectivo y préstamos concedidos a terceros</t>
  </si>
  <si>
    <t>Pagos por adquirir o rescatar las acciones de la entidad</t>
  </si>
  <si>
    <t>Estado de flujos de efectivo, método directo</t>
  </si>
  <si>
    <t xml:space="preserve">Clases de cobros por actividades de operación </t>
  </si>
  <si>
    <t>Cobros procedentes de las ventas de bienes y prestación de servicios</t>
  </si>
  <si>
    <t>Cobros procedentes de regalías, cuotas, comisiones y otros ingresos de actividades ordinarias</t>
  </si>
  <si>
    <t>Otros cobros por actividades de operación</t>
  </si>
  <si>
    <t>Pagos a proveedores por el suministro de bienes y servicios</t>
  </si>
  <si>
    <t>Pagos a y por cuenta de los empleados</t>
  </si>
  <si>
    <t>Otros pagos por actividades de operación</t>
  </si>
  <si>
    <t xml:space="preserve">Flujos de efectivo procedentes de (utilizados en) actividades de financiación </t>
  </si>
  <si>
    <t>Saldo inicial cuentas por cobrar comerciales</t>
  </si>
  <si>
    <t>Saldo final cuentas por cobrar comerciales</t>
  </si>
  <si>
    <t>Saldo inicial de cuentas por pagar comerciales</t>
  </si>
  <si>
    <t>Saldo final de cuentas por pagar comerciales</t>
  </si>
  <si>
    <t>Gastos por beneficios a los empleados</t>
  </si>
  <si>
    <t>Saldo inicial de cuentas por pagar empleados</t>
  </si>
  <si>
    <t>Saldo final de cuentas por pagar empleados</t>
  </si>
  <si>
    <t>Flujo asignado a pagos a empleados</t>
  </si>
  <si>
    <t>Ingresos por dividendos</t>
  </si>
  <si>
    <t>Menos flujo de dividendos recibidos</t>
  </si>
  <si>
    <t>Gastos por impuesto ganancias- restaurante</t>
  </si>
  <si>
    <t>Saldo inicial pasivos por impuestos corrientes</t>
  </si>
  <si>
    <t>Saldo final pasivos por impuestos corrientes</t>
  </si>
  <si>
    <t>Saldo inicial pasivos por impuestos diferidos</t>
  </si>
  <si>
    <t>Saldo final pasivos por impuestos diferidos</t>
  </si>
  <si>
    <t>Saldo inicial activos por impuestos corrientes</t>
  </si>
  <si>
    <t>Saldo final activos por impuestos corrientes</t>
  </si>
  <si>
    <t>Saldo inicial de otros activos financieros</t>
  </si>
  <si>
    <t>Saldo final de otros activos financieros</t>
  </si>
  <si>
    <t>Variación del valor razonable de instrumentos de patrimonio</t>
  </si>
  <si>
    <t>Venta de patrimonio o instrumentos de deuda de otras entidades</t>
  </si>
  <si>
    <t>Saldo inicial de propiedad, planta y equipo</t>
  </si>
  <si>
    <t>Saldo final de propiedad, planta y equipo</t>
  </si>
  <si>
    <t>Gasto por depreciación</t>
  </si>
  <si>
    <t>Saldo inicial de intangibles</t>
  </si>
  <si>
    <t>Saldo final de intangibles</t>
  </si>
  <si>
    <t>Gasto por amortización de intangibles</t>
  </si>
  <si>
    <t>Préstamos tomados o pagados</t>
  </si>
  <si>
    <t>Saldo inicial otros pasivos financieros</t>
  </si>
  <si>
    <t>Saldo final otros pasivos financieros</t>
  </si>
  <si>
    <t>Saldo inicial ganancias acumuladas</t>
  </si>
  <si>
    <t>Saldo final ganancias acumuladas</t>
  </si>
  <si>
    <t>Resultados del ejercicio</t>
  </si>
  <si>
    <t>Saldo inicial inventarios</t>
  </si>
  <si>
    <t>Saldo final inventarios</t>
  </si>
  <si>
    <t>Saldo inicial activos biológicos</t>
  </si>
  <si>
    <t>Saldo final activos biológicos</t>
  </si>
  <si>
    <t>Variación del valor razonable de activos biológicos</t>
  </si>
  <si>
    <t>Saldo inicial provisiones</t>
  </si>
  <si>
    <t>Saldo final provisiones</t>
  </si>
  <si>
    <t>Gasto por provisiones</t>
  </si>
  <si>
    <t>Provisiones- efecto financiero</t>
  </si>
  <si>
    <t>Financiación implicita provisiones</t>
  </si>
  <si>
    <t>Gasto por amortizaciones</t>
  </si>
  <si>
    <t>Gasto por deterioro de inventarios</t>
  </si>
  <si>
    <t>Gasto por deterioro de cuentas por cobrar</t>
  </si>
  <si>
    <t>Diferencia en cambio de partidas monetarias diferentes al efectivo y equivalentes</t>
  </si>
  <si>
    <t>SI -SF- sin deterioro</t>
  </si>
  <si>
    <t>Activos biológicos, al valor razonable</t>
  </si>
  <si>
    <t>Otros pasivos financieros</t>
  </si>
  <si>
    <t xml:space="preserve">Otros activos financieros </t>
  </si>
  <si>
    <t xml:space="preserve">Otros pasivos financieros </t>
  </si>
  <si>
    <t>Ganancias (pérdidas) acumuladas</t>
  </si>
  <si>
    <t xml:space="preserve">Total patrimonio </t>
  </si>
  <si>
    <t>Saldo a enero 1 de 2015</t>
  </si>
  <si>
    <t>Ganancia neta del año</t>
  </si>
  <si>
    <t>Pago de dividendos</t>
  </si>
  <si>
    <t>Saldo a diciembre 31 de 2015</t>
  </si>
  <si>
    <t>Saldo a diciembre 31 de 2016</t>
  </si>
  <si>
    <t>A diciembre 31 de</t>
  </si>
  <si>
    <t>A enero 1 de</t>
  </si>
  <si>
    <t>Total activos corrientes</t>
  </si>
  <si>
    <t>Total pasivos corrientes</t>
  </si>
  <si>
    <t>Total Patrimonio</t>
  </si>
  <si>
    <t>Total patrimonio y pasivos</t>
  </si>
  <si>
    <t>Ganancia operacional</t>
  </si>
  <si>
    <t>Gastos de la operación</t>
  </si>
  <si>
    <t>ESTADO DE FLUJOS DE EFECTIVO MÉTODO INDIRECTO</t>
  </si>
  <si>
    <t>ACTIVIDADES OPERACIONALES</t>
  </si>
  <si>
    <t>Resultado neto del año antes de impuestos</t>
  </si>
  <si>
    <t>Partidas que no afectan el efectivo</t>
  </si>
  <si>
    <t>Cambio neto en activos y pasivos operacionales</t>
  </si>
  <si>
    <t>Total con ajustes para conciliar la ganancia (pérdida)</t>
  </si>
  <si>
    <t>ACTIVIDADES DE INVERSIÓN</t>
  </si>
  <si>
    <t>ACTIVIDADES DE FINANCIACIÓN</t>
  </si>
  <si>
    <t>Efectivo en caja</t>
  </si>
  <si>
    <t>Saldo en entidades financieras</t>
  </si>
  <si>
    <t>Inversiones en instrumentos de deuda</t>
  </si>
  <si>
    <t>Subtotal efectivo y equivalentes al efectivo</t>
  </si>
  <si>
    <t>Sobregiros bancarios</t>
  </si>
  <si>
    <t>Total efectivo y equivalentes al efectivo</t>
  </si>
  <si>
    <t>Cuentas comerciales y otras cuentas por cobrar</t>
  </si>
  <si>
    <t>Deudores comerciales</t>
  </si>
  <si>
    <t>Cuentas por cobrar a partes relacionadas</t>
  </si>
  <si>
    <t>Cuentas por cobrar a empleados</t>
  </si>
  <si>
    <t>Cuentas por cobrar causadas</t>
  </si>
  <si>
    <t>Saldos a favor por impuesto a las ventas</t>
  </si>
  <si>
    <t>Cuentas por cobrar de terceros</t>
  </si>
  <si>
    <t>Anticipos</t>
  </si>
  <si>
    <t>Reclamaciones</t>
  </si>
  <si>
    <t>Deterioro de valor</t>
  </si>
  <si>
    <t>Total cuentas comerciales y otras cuentas por cobrar</t>
  </si>
  <si>
    <t>El activo se clasifica como:</t>
  </si>
  <si>
    <t>Activo corriente</t>
  </si>
  <si>
    <t>Activo no corriente</t>
  </si>
  <si>
    <t xml:space="preserve">Total </t>
  </si>
  <si>
    <t xml:space="preserve">Detalle del deterioro de cuentas por cobrar a diciembre 31  </t>
  </si>
  <si>
    <t>Saldo inicial</t>
  </si>
  <si>
    <t>Gasto por deterioro del periodo</t>
  </si>
  <si>
    <t xml:space="preserve">Recuperación deterioro </t>
  </si>
  <si>
    <t>Cartera dada de baja</t>
  </si>
  <si>
    <t>Materias primas</t>
  </si>
  <si>
    <t>Productos en proceso</t>
  </si>
  <si>
    <t>Mercancía para la venta</t>
  </si>
  <si>
    <t>Productos agropecuarios</t>
  </si>
  <si>
    <t>Inventarios en transito</t>
  </si>
  <si>
    <t>Materiales para consumo</t>
  </si>
  <si>
    <t xml:space="preserve">Total inventarios </t>
  </si>
  <si>
    <t>Costo de inventarios reconocidos en resultados del periodo</t>
  </si>
  <si>
    <t xml:space="preserve">Detalle del deterioro de inventarios a diciembre 31  </t>
  </si>
  <si>
    <t>Inventario dado de baja</t>
  </si>
  <si>
    <t>Activos biológicos medidos a su valor razonable</t>
  </si>
  <si>
    <t>Ganancia o pérdida surgida por cambios en el valor razonable menos los costos de venta</t>
  </si>
  <si>
    <t>Compras (valores pagados por la adquisición o cosecha de nuevos activos)</t>
  </si>
  <si>
    <t>Disminuciones procedentes la cosecha o recolección</t>
  </si>
  <si>
    <t>Reclasificaciones</t>
  </si>
  <si>
    <t>Incrementos procedentes de combinaciones de negocios</t>
  </si>
  <si>
    <t>Diferencias netas de cambio surgidas de la conversión de los estados financieros</t>
  </si>
  <si>
    <t>Otros cambios</t>
  </si>
  <si>
    <t>Otras opción es la siguiente:</t>
  </si>
  <si>
    <t>Plantaciones de café</t>
  </si>
  <si>
    <t>Saldo inicial a enero de 2015</t>
  </si>
  <si>
    <t>Saldo final a diciembre 31 de 2015</t>
  </si>
  <si>
    <t>Saldo final a diciembre 31 de 2016</t>
  </si>
  <si>
    <t>Activos biológicos medidos al costo</t>
  </si>
  <si>
    <t>Compras</t>
  </si>
  <si>
    <t>Depreciación</t>
  </si>
  <si>
    <t>Inversiones en subsidiarias, asociadas y negocios conjuntos</t>
  </si>
  <si>
    <t>Asociada X</t>
  </si>
  <si>
    <t>Negocio conjunto Y</t>
  </si>
  <si>
    <t>Asociada Z</t>
  </si>
  <si>
    <t>Utilidad (pérdida) por el método de participación</t>
  </si>
  <si>
    <t>Efecto de la conversión</t>
  </si>
  <si>
    <t>Transferencias</t>
  </si>
  <si>
    <t>A diciembre 31 de 2015</t>
  </si>
  <si>
    <t>A diciembre 31 de 2016</t>
  </si>
  <si>
    <t>La siguiente tabla resume la información financiera de las inversiones significativas de la Compañía en asociadas (las cifras representan el 100% de la participación de las entidades subyacentes):</t>
  </si>
  <si>
    <t>Pasivo corriente</t>
  </si>
  <si>
    <t>Pasivo no corriente</t>
  </si>
  <si>
    <t>Porcentaje de participación en la compañía</t>
  </si>
  <si>
    <t>Valor en libros de la inversión</t>
  </si>
  <si>
    <t>Ingresos</t>
  </si>
  <si>
    <t>Costos y gastos</t>
  </si>
  <si>
    <t>Participación en los resultados de la entidad</t>
  </si>
  <si>
    <t>Terrenos y edificaciones</t>
  </si>
  <si>
    <t>Equipo de transporte</t>
  </si>
  <si>
    <t>Maquinaria, equipo de oficina y de cómputo</t>
  </si>
  <si>
    <t>Costo</t>
  </si>
  <si>
    <t>Compras y adiciones</t>
  </si>
  <si>
    <t>Ventas o retiros</t>
  </si>
  <si>
    <t>Depreciación y deterioro acumulado</t>
  </si>
  <si>
    <t>Depreciación anual</t>
  </si>
  <si>
    <t>A Enero 1 de 2016</t>
  </si>
  <si>
    <t xml:space="preserve">Activos intangibles </t>
  </si>
  <si>
    <t>Programas informáticos</t>
  </si>
  <si>
    <t>Patentes</t>
  </si>
  <si>
    <t>Marcas</t>
  </si>
  <si>
    <t>Amortización y deterioro acumulado</t>
  </si>
  <si>
    <t>Amortización anual (incluida en gastos xxxxx)</t>
  </si>
  <si>
    <t>Variaciones del valor razonable</t>
  </si>
  <si>
    <t>Inversiones en CDT</t>
  </si>
  <si>
    <t>Instrumentos de patrimonio al valor razonable</t>
  </si>
  <si>
    <t>Instrumentos de patrimonio al costo</t>
  </si>
  <si>
    <t>Títulos de devolución de impuestos</t>
  </si>
  <si>
    <t>Total activos financieros</t>
  </si>
  <si>
    <t xml:space="preserve">Otros activos no financieros </t>
  </si>
  <si>
    <t>Propiedades no clasificadas como PPYE</t>
  </si>
  <si>
    <t>Obras de arte</t>
  </si>
  <si>
    <t>Total otros activos no financieros</t>
  </si>
  <si>
    <t>Contratos de arrendamiento financiero</t>
  </si>
  <si>
    <t>Préstamos con entidades financieras</t>
  </si>
  <si>
    <t>Total otros pasivo financieros</t>
  </si>
  <si>
    <t>El pasivo se clasifica como:</t>
  </si>
  <si>
    <t>Plazos</t>
  </si>
  <si>
    <t>Tasas de interés</t>
  </si>
  <si>
    <t>Vencimiento</t>
  </si>
  <si>
    <t>Restricciones sobre la entidad</t>
  </si>
  <si>
    <t>Cuentas por pagar comerciales y otras cuentas por pagar</t>
  </si>
  <si>
    <t xml:space="preserve">Proveedores </t>
  </si>
  <si>
    <t>Otras cuentas por pagar</t>
  </si>
  <si>
    <t>Impuesto sobre la venta por pagar</t>
  </si>
  <si>
    <t>Impuesto a la riqueza por pagar</t>
  </si>
  <si>
    <t>Otros impuestos por pagar</t>
  </si>
  <si>
    <t>Beneficios a corto plazo a los empleados</t>
  </si>
  <si>
    <t>Cuentas por pagar estimadas</t>
  </si>
  <si>
    <t>Total cuentas por pagar comerciales y otras cuentas por pagar</t>
  </si>
  <si>
    <t xml:space="preserve">Provisiones </t>
  </si>
  <si>
    <t>Por garantías</t>
  </si>
  <si>
    <t>Por reestructuración</t>
  </si>
  <si>
    <t>Por procesos legales</t>
  </si>
  <si>
    <t>Por reembolsos</t>
  </si>
  <si>
    <t>Por contratos onerosos</t>
  </si>
  <si>
    <t>Por rehabilitación, retiro de activos y desmantelamiento</t>
  </si>
  <si>
    <t>Por planes de beneficios definidos</t>
  </si>
  <si>
    <t>Total provisiones</t>
  </si>
  <si>
    <t>Medición de nuevas provisiones</t>
  </si>
  <si>
    <t>Actualización financiera por medición del importe descontado</t>
  </si>
  <si>
    <t xml:space="preserve">Pago de provisiones </t>
  </si>
  <si>
    <t>Importes no utilizados revertidos en el periodo</t>
  </si>
  <si>
    <t>Activos mantenidos bajo contratos de arrendamiento financiero</t>
  </si>
  <si>
    <t>Total activos bajo contratos de arrendamiento financiero</t>
  </si>
  <si>
    <t>Pagos mínimos futuros</t>
  </si>
  <si>
    <t>Hasta un año</t>
  </si>
  <si>
    <t>Entre uno y cinco años</t>
  </si>
  <si>
    <t>Más de cinco años</t>
  </si>
  <si>
    <t>Compromisos por arrendamientos operativos</t>
  </si>
  <si>
    <t>Pagos mínimos por arrendamiento operativo reconocidos como gastos durante el año</t>
  </si>
  <si>
    <t>Al final del año, el Grupo tiene compromisos pendientes por arrendamientos operativos no cancelables, con los siguientes vencimientos</t>
  </si>
  <si>
    <t>Total de pagos por arrendamientos mínimos futuros</t>
  </si>
  <si>
    <t>Contratos de arrendamiento financiero (arrendador)</t>
  </si>
  <si>
    <t>Inversión bruta en el arrendamiento y el valor presente de los pagos mínimos por cobrar</t>
  </si>
  <si>
    <t>Ingresos financieros no acumulados</t>
  </si>
  <si>
    <t xml:space="preserve">Importe de los valores residuales no garantizados acumulados
(devengados) a favor del arrendador
</t>
  </si>
  <si>
    <t>Correcciones de valor acumuladas para pagos mínimos por el arrendamiento pendientes de cobro</t>
  </si>
  <si>
    <t>Cuotas contingentes reconocidas en los ingresos del periodo</t>
  </si>
  <si>
    <t>Compromisos por arrendamientos operativos (arrendadores)</t>
  </si>
  <si>
    <t>Pagos mínimos por arrendamiento operativo reconocidos como ingresos durante el año</t>
  </si>
  <si>
    <t>Total de cobros por arrendamientos mínimos futuros</t>
  </si>
  <si>
    <t>Venta de bienes</t>
  </si>
  <si>
    <t>Prestación de servicios</t>
  </si>
  <si>
    <t xml:space="preserve">Explotación de intangibles </t>
  </si>
  <si>
    <t>Comisiones</t>
  </si>
  <si>
    <t>Subvenciones del Gobierno</t>
  </si>
  <si>
    <t>Total ingresos</t>
  </si>
  <si>
    <t>Pasivo por anticipo clientes</t>
  </si>
  <si>
    <t>Contratos de construcción</t>
  </si>
  <si>
    <t>Ingresos de actividades ordinarias procedentes de contratos de construcción</t>
  </si>
  <si>
    <t>Importe bruto debido por los clientes por contratos de construcción como activo</t>
  </si>
  <si>
    <t>Importe bruto debido a los clientes por contratos de construcción como pasivo</t>
  </si>
  <si>
    <t>Costo de venta de mercancías</t>
  </si>
  <si>
    <t>Costo de licenciamiento del software</t>
  </si>
  <si>
    <t>Costo de servicios</t>
  </si>
  <si>
    <t>Total costo de ventas</t>
  </si>
  <si>
    <t>Honorarios</t>
  </si>
  <si>
    <t>Impuestos</t>
  </si>
  <si>
    <t>Contribuciones y afiliaciones</t>
  </si>
  <si>
    <t>Seguros</t>
  </si>
  <si>
    <t>Servicios</t>
  </si>
  <si>
    <t>Gastos legales</t>
  </si>
  <si>
    <t>Mantenimientos y reparaciones</t>
  </si>
  <si>
    <t>Adecuaciones e instalaciones</t>
  </si>
  <si>
    <t>Gastos de viaje</t>
  </si>
  <si>
    <t>Diversos</t>
  </si>
  <si>
    <t>Total gastos de administración</t>
  </si>
  <si>
    <t>Recuperaciones</t>
  </si>
  <si>
    <t>Total otros ingresos</t>
  </si>
  <si>
    <t>Resultado en venta de propiedad, planta y equipo</t>
  </si>
  <si>
    <t>Variaciones del valor razonable de instrumentos de patrimonio</t>
  </si>
  <si>
    <t>Variaciones del valor razonable de propiedades de inversión</t>
  </si>
  <si>
    <t>Variaciones del valor razonable de derivados financieros</t>
  </si>
  <si>
    <t>Total otras ganancias (pérdidas)</t>
  </si>
  <si>
    <t>Intereses por sobregiros bancarios</t>
  </si>
  <si>
    <t>Intereses por préstamos</t>
  </si>
  <si>
    <t>Intereses por contratos de arrendamiento financiero</t>
  </si>
  <si>
    <t>Total gastos financieros</t>
  </si>
  <si>
    <t>Resultado por impuestos a las ganancias</t>
  </si>
  <si>
    <t>Impuesto corriente por renta</t>
  </si>
  <si>
    <t>Impuesto corriente por CREE</t>
  </si>
  <si>
    <t>Ajuste periodos anteriores sobre impuestos corrientes</t>
  </si>
  <si>
    <t>Impuesto diferido por renta</t>
  </si>
  <si>
    <t>Impuesto diferido por CREE</t>
  </si>
  <si>
    <t>Resultado por impuesto a las ganancias</t>
  </si>
  <si>
    <t>El siguiente es el detalle de la determinación del pasivo por impuesto de renta y de renta a la equidad “CREE”:</t>
  </si>
  <si>
    <t>Utilidad antes de impuesto</t>
  </si>
  <si>
    <t>Más: Gastos no deducibles</t>
  </si>
  <si>
    <t>Menos: Otras partidas que afectan la renta</t>
  </si>
  <si>
    <t>Renta Líquida</t>
  </si>
  <si>
    <t>Renta Presuntiva</t>
  </si>
  <si>
    <t>Renta Líquida Gravable Renta</t>
  </si>
  <si>
    <t>Menos rentas exentas</t>
  </si>
  <si>
    <t>Renta Líquida Gravable</t>
  </si>
  <si>
    <t>Gasto por Impuesto de Renta</t>
  </si>
  <si>
    <t>Renta Líquida Gravable CREE</t>
  </si>
  <si>
    <t>Gasto por Impuesto de Renta para la equidad "CREE"</t>
  </si>
  <si>
    <t>Menos: Descuento Tributario</t>
  </si>
  <si>
    <t>Pasivo (activo) por Impuesto de Renta</t>
  </si>
  <si>
    <t>Pasivo (activo) por Impuesto de Renta para la equidad "CREE"</t>
  </si>
  <si>
    <t>El cálculo del activo (pasivo) por impuesto a las ganancias corriente, se presenta de la siguiente manera:</t>
  </si>
  <si>
    <t>Retenciones y autorretenciones renta</t>
  </si>
  <si>
    <t xml:space="preserve">Retenciones y autorretenciones "CREE" </t>
  </si>
  <si>
    <t>Saldo a favor periodo anterior</t>
  </si>
  <si>
    <t xml:space="preserve">Pasivo por Impuesto de Renta </t>
  </si>
  <si>
    <t>Pasivo por Impuesto de Renta "CREE"</t>
  </si>
  <si>
    <t>Saldo a favor renta vigencia actual (pasivo)</t>
  </si>
  <si>
    <t>Saldo a pagar renta "CREE" vigencia actual (pasivo)</t>
  </si>
  <si>
    <t>Impuestos diferidos</t>
  </si>
  <si>
    <t>A continuación se indican los activos (pasivos) por impuestos diferidos reconocidos:</t>
  </si>
  <si>
    <t>Pasivos deducibles cuando sean cancelados</t>
  </si>
  <si>
    <t>Provisiones por garantías</t>
  </si>
  <si>
    <t>Pérdidas fiscales</t>
  </si>
  <si>
    <t>Excesos de renta presuntiva</t>
  </si>
  <si>
    <t>Total impuesto diferido</t>
  </si>
  <si>
    <t>Resultado por variación del impuesto diferido</t>
  </si>
  <si>
    <t>Pérdidas fiscales no reconocidas como diferencias temporarias</t>
  </si>
  <si>
    <t>Excesos de renta presuntiva no reconocidas como diferencias temporarias</t>
  </si>
  <si>
    <t>Los  activos por  impuestos diferidos por xxxxxxxxxxxx, así como el pasivo por impuestos diferidos por xxxxxxxxxx se relacionan con el impuesto a las ganancias de la misma jurisdicción, y la legislación permite su compensación. Por ello, se han compensado en el estado de situación financiera como se señala a continuación:</t>
  </si>
  <si>
    <t>Activos por impuestos diferidos</t>
  </si>
  <si>
    <t>Resultado antes de impuestos</t>
  </si>
  <si>
    <t>Tarifa impositiva</t>
  </si>
  <si>
    <t>Ajustes por impuestos corrientes de periodos anteriores</t>
  </si>
  <si>
    <t>Gasto (ingreso) por impuestos diferidos relacionado con el nacimiento y reversión de diferencias temporarias</t>
  </si>
  <si>
    <t>Gasto (ingreso) por impuestos diferidos relacionado con cambios en las tasas fiscales o con la imposición de nuevos impuestos</t>
  </si>
  <si>
    <t>Beneficios de carácter fiscal, procedentes de pérdidas fiscales, créditos fiscales o diferencias temporarias no reconocidos en periodos anteriores utilizadas para reducir el gasto por impuestos del periodo corriente</t>
  </si>
  <si>
    <t>Beneficios de carácter fiscal, procedentes de pérdidas fiscales, créditos fiscales o diferencias temporarias no reconocidos en periodos anteriores utilizadas para reducir el gasto por impuestos diferido</t>
  </si>
  <si>
    <t>Gasto por impuestos diferidos surgido de la baja o la reversión de la baja de activos por impuestos diferidos</t>
  </si>
  <si>
    <t>Gasto (ingreso) por impuestos relacionado con cambios en políticas contables y errores incluidos en el resultado del periodo</t>
  </si>
  <si>
    <t>Efecto sobre los gastos por impuestos diferidos procedentes de una revisión por las autoridades fiscales</t>
  </si>
  <si>
    <t>Ajustes al gasto por impuestos diferido que surge del cambio en el estatus fiscal de la entidad o de los accionistas</t>
  </si>
  <si>
    <t>Gastos (ingresos) por impuestos procedentes de cambios en correcciones valorativas contra activos por impuestos diferidos</t>
  </si>
  <si>
    <t>Otros componentes del gasto (ingreso) por impuestos diferido</t>
  </si>
  <si>
    <t>Total gasto por impuesto a las ganancias</t>
  </si>
  <si>
    <t xml:space="preserve">Capital </t>
  </si>
  <si>
    <t>Número de acciones autorizadas</t>
  </si>
  <si>
    <t>Número de acciones suscritas y no pagadas</t>
  </si>
  <si>
    <t>Número de acciones suscritas y pagadas</t>
  </si>
  <si>
    <t>Valor nominal de las acciones</t>
  </si>
  <si>
    <t>Número de acciones al inicio del periodo</t>
  </si>
  <si>
    <t>Emisión de nuevas acciones</t>
  </si>
  <si>
    <t>Número de acciones al final del periodo</t>
  </si>
  <si>
    <t>Partes relacionadas</t>
  </si>
  <si>
    <t>Compra de bienes</t>
  </si>
  <si>
    <t>Venta de propiedades</t>
  </si>
  <si>
    <t>Compra de propiedades</t>
  </si>
  <si>
    <t>Ingresos por prestación de servicios</t>
  </si>
  <si>
    <t>Pagos por servicios</t>
  </si>
  <si>
    <t>Ingresos por arrendamientos</t>
  </si>
  <si>
    <t>Pagos por arrendamientos</t>
  </si>
  <si>
    <t>Ingresos por explotación de intangibles</t>
  </si>
  <si>
    <t>Pagos por explotación de intangibles</t>
  </si>
  <si>
    <t>Aportes de patrimonio efectuados</t>
  </si>
  <si>
    <t>Préstamos por cobrar</t>
  </si>
  <si>
    <t xml:space="preserve">Deterioro por cuentas por cobrar </t>
  </si>
  <si>
    <t>Remuneraciones del personal clave de la gerencia</t>
  </si>
  <si>
    <t>Beneficios post-empleo</t>
  </si>
  <si>
    <t>Otros beneficios a largo plazo</t>
  </si>
  <si>
    <t>Pagos basados en acciones</t>
  </si>
  <si>
    <t>Total remuneraciones del personal clave</t>
  </si>
  <si>
    <t>Gastos por deterioro</t>
  </si>
  <si>
    <t>Pérdidas por deterioro de valor reconocidas en el resultado</t>
  </si>
  <si>
    <t>Inventarios</t>
  </si>
  <si>
    <t>Propiedades de inversión al costo</t>
  </si>
  <si>
    <t>Crédito mercantil</t>
  </si>
  <si>
    <t>Inversiones en asociadas</t>
  </si>
  <si>
    <t>Inversiones en negocios conjuntos</t>
  </si>
  <si>
    <t>Total gasto por deterioro</t>
  </si>
  <si>
    <t>Reversiones por pérdidas por deterioro de valor</t>
  </si>
  <si>
    <t>Planes de beneficios definidos</t>
  </si>
  <si>
    <t xml:space="preserve">Una conciliación de los saldos de apertura y cierre del valor razonable de los activos del plan y de los saldos de apertura y cierre de cualquier derecho de reembolso reconocido como un activo, que muestre de forma separada
</t>
  </si>
  <si>
    <t>Aportaciones</t>
  </si>
  <si>
    <t>Beneficios pagados</t>
  </si>
  <si>
    <t>Otros cambios en los activos del plan</t>
  </si>
  <si>
    <t>Diferencias en cambio</t>
  </si>
  <si>
    <t>Importe de las diferencias de cambio reconocidas en los resultados durante el periodo</t>
  </si>
  <si>
    <t>Acuerdos de concesión de servicios</t>
  </si>
  <si>
    <t>Adopción por primera vez</t>
  </si>
  <si>
    <t>Conciliación del patrimonio entre PCGA anteriores y NIIF para PYMES</t>
  </si>
  <si>
    <t>A enero 1 de 2015</t>
  </si>
  <si>
    <t>Nota</t>
  </si>
  <si>
    <t>PCGA anterior</t>
  </si>
  <si>
    <t>Efecto de la transición</t>
  </si>
  <si>
    <t>NIIF para PYMES</t>
  </si>
  <si>
    <t>Activos intangibles</t>
  </si>
  <si>
    <t>Activos financieros</t>
  </si>
  <si>
    <t>Activos totales</t>
  </si>
  <si>
    <t>Arrendamientos por pagar</t>
  </si>
  <si>
    <t>Pasivos financieros</t>
  </si>
  <si>
    <t>Pasivos totales</t>
  </si>
  <si>
    <t>Conciliación del resultado entre PCGA anteriores y NIIF para PYMES a diciembre 31 de 2015</t>
  </si>
  <si>
    <t>Ingresos ordinarios</t>
  </si>
  <si>
    <t>Costo de ventas y servicios</t>
  </si>
  <si>
    <t>Resultado bruto</t>
  </si>
  <si>
    <t>Gastos operacionales</t>
  </si>
  <si>
    <t>Resultados operacionales</t>
  </si>
  <si>
    <t>Valor razonable de activos financieros</t>
  </si>
  <si>
    <t>Resultado del periodo</t>
  </si>
  <si>
    <t>Instrumentos financieros</t>
  </si>
  <si>
    <t xml:space="preserve">Categorías de activos financieros y pasivos financieros </t>
  </si>
  <si>
    <t>Activos financieros al valor razonable con cambios en resultados</t>
  </si>
  <si>
    <t>Activos financieros que son instrumentos de deuda, al costo amortizado</t>
  </si>
  <si>
    <t>Activos financieros que son instrumentos de patrimonio, al costo</t>
  </si>
  <si>
    <t>Pasivos financieros al valor razonable con cambios en resultados</t>
  </si>
  <si>
    <t>Pasivos financieros al costo amortizado</t>
  </si>
  <si>
    <t>Compromisos de préstamo, al costo</t>
  </si>
  <si>
    <t>Xbrl</t>
  </si>
  <si>
    <t>Provisiones</t>
  </si>
  <si>
    <t>Variación</t>
  </si>
  <si>
    <t>2016-2015</t>
  </si>
  <si>
    <t>2015-ESFA</t>
  </si>
  <si>
    <t>Cuentas por cobrar a clientes</t>
  </si>
  <si>
    <t>Otras cuentas por cobrar</t>
  </si>
  <si>
    <t>Otros cobros por la venta de instrumentos de patrimonio o instrumentos de deuda de otras entidades</t>
  </si>
  <si>
    <t>Compras de propiedades, planta y equipo y propiedades de inversión</t>
  </si>
  <si>
    <t>Variaciones procedentes de activos biológicos</t>
  </si>
  <si>
    <t>Verificación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</si>
</sst>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.000000000000_-;\-* #,##0.00000000000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0.0%"/>
    <numFmt numFmtId="188" formatCode="0.000%"/>
    <numFmt numFmtId="189" formatCode="0.0000%"/>
    <numFmt numFmtId="190" formatCode="0.00000%"/>
    <numFmt numFmtId="191" formatCode="#,##0.0"/>
    <numFmt numFmtId="192" formatCode="#,##0.000"/>
    <numFmt numFmtId="193" formatCode="#,##0.0000"/>
    <numFmt numFmtId="194" formatCode="_(* #,##0.000_);_(* \(#,##0.000\);_(* &quot;-&quot;??_);_(@_)"/>
    <numFmt numFmtId="195" formatCode="_(* #,##0_);_(* \(#,##0\);_(* &quot;-&quot;??_);_(@_)"/>
    <numFmt numFmtId="196" formatCode="0.0000000"/>
    <numFmt numFmtId="197" formatCode="0.00000000"/>
    <numFmt numFmtId="198" formatCode="0.000000%"/>
    <numFmt numFmtId="199" formatCode="0.0000000%"/>
    <numFmt numFmtId="200" formatCode="0.00000000%"/>
    <numFmt numFmtId="201" formatCode="&quot;$&quot;\ #,##0.00;[Red]&quot;$&quot;\ #,##0.00"/>
    <numFmt numFmtId="202" formatCode="_-* #,##0.00000_-;\-* #,##0.00000_-;_-* &quot;-&quot;??_-;_-@_-"/>
    <numFmt numFmtId="203" formatCode="_-* #,##0.000000_-;\-* #,##0.000000_-;_-* &quot;-&quot;??_-;_-@_-"/>
    <numFmt numFmtId="204" formatCode="_-* #,##0.0000000_-;\-* #,##0.0000000_-;_-* &quot;-&quot;??_-;_-@_-"/>
    <numFmt numFmtId="205" formatCode="_-* #,##0.0_-;\-* #,##0.0_-;_-* &quot;-&quot;??_-;_-@_-"/>
    <numFmt numFmtId="206" formatCode="_-* #,##0_-;\-* #,##0_-;_-* &quot;-&quot;??_-;_-@_-"/>
    <numFmt numFmtId="207" formatCode="_-* #,##0.00000000_-;\-* #,##0.00000000_-;_-* &quot;-&quot;??_-;_-@_-"/>
    <numFmt numFmtId="208" formatCode="_(* #,##0.0_);_(* \(#,##0.0\);_(* &quot;-&quot;??_);_(@_)"/>
  </numFmts>
  <fonts count="7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u val="single"/>
      <sz val="10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u val="single"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ck">
        <color rgb="FF5F6062"/>
      </top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3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171" fontId="4" fillId="0" borderId="10" xfId="49" applyFont="1" applyFill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49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10" xfId="49" applyNumberFormat="1" applyFont="1" applyFill="1" applyBorder="1" applyAlignment="1">
      <alignment/>
    </xf>
    <xf numFmtId="171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5" fillId="0" borderId="0" xfId="0" applyNumberFormat="1" applyFont="1" applyAlignment="1">
      <alignment/>
    </xf>
    <xf numFmtId="171" fontId="5" fillId="0" borderId="0" xfId="49" applyFont="1" applyAlignment="1">
      <alignment/>
    </xf>
    <xf numFmtId="171" fontId="5" fillId="0" borderId="10" xfId="49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Fill="1" applyAlignment="1">
      <alignment/>
    </xf>
    <xf numFmtId="171" fontId="5" fillId="0" borderId="0" xfId="49" applyFont="1" applyFill="1" applyAlignment="1">
      <alignment/>
    </xf>
    <xf numFmtId="171" fontId="4" fillId="0" borderId="0" xfId="49" applyFont="1" applyBorder="1" applyAlignment="1">
      <alignment horizontal="center"/>
    </xf>
    <xf numFmtId="190" fontId="5" fillId="0" borderId="0" xfId="56" applyNumberFormat="1" applyFont="1" applyAlignment="1">
      <alignment/>
    </xf>
    <xf numFmtId="3" fontId="5" fillId="0" borderId="10" xfId="49" applyNumberFormat="1" applyFont="1" applyFill="1" applyBorder="1" applyAlignment="1">
      <alignment horizontal="left" wrapText="1"/>
    </xf>
    <xf numFmtId="0" fontId="6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0" xfId="49" applyNumberFormat="1" applyFont="1" applyFill="1" applyBorder="1" applyAlignment="1">
      <alignment/>
    </xf>
    <xf numFmtId="0" fontId="4" fillId="0" borderId="0" xfId="0" applyFont="1" applyFill="1" applyAlignment="1">
      <alignment/>
    </xf>
    <xf numFmtId="171" fontId="5" fillId="0" borderId="0" xfId="49" applyFont="1" applyFill="1" applyBorder="1" applyAlignment="1">
      <alignment/>
    </xf>
    <xf numFmtId="3" fontId="4" fillId="0" borderId="0" xfId="49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1" fontId="5" fillId="0" borderId="10" xfId="49" applyFont="1" applyFill="1" applyBorder="1" applyAlignment="1">
      <alignment/>
    </xf>
    <xf numFmtId="3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/>
    </xf>
    <xf numFmtId="171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71" fontId="5" fillId="0" borderId="0" xfId="0" applyNumberFormat="1" applyFont="1" applyFill="1" applyBorder="1" applyAlignment="1">
      <alignment/>
    </xf>
    <xf numFmtId="171" fontId="4" fillId="0" borderId="10" xfId="49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0" fontId="4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wrapText="1"/>
    </xf>
    <xf numFmtId="175" fontId="5" fillId="0" borderId="0" xfId="0" applyNumberFormat="1" applyFont="1" applyFill="1" applyAlignment="1">
      <alignment/>
    </xf>
    <xf numFmtId="171" fontId="5" fillId="33" borderId="10" xfId="49" applyFont="1" applyFill="1" applyBorder="1" applyAlignment="1">
      <alignment/>
    </xf>
    <xf numFmtId="171" fontId="0" fillId="0" borderId="0" xfId="49" applyFont="1" applyAlignment="1">
      <alignment/>
    </xf>
    <xf numFmtId="171" fontId="4" fillId="33" borderId="10" xfId="49" applyFont="1" applyFill="1" applyBorder="1" applyAlignment="1">
      <alignment/>
    </xf>
    <xf numFmtId="171" fontId="4" fillId="0" borderId="0" xfId="49" applyFont="1" applyFill="1" applyAlignment="1">
      <alignment/>
    </xf>
    <xf numFmtId="171" fontId="4" fillId="0" borderId="0" xfId="49" applyFont="1" applyAlignment="1">
      <alignment/>
    </xf>
    <xf numFmtId="167" fontId="5" fillId="0" borderId="0" xfId="49" applyNumberFormat="1" applyFont="1" applyFill="1" applyAlignment="1">
      <alignment/>
    </xf>
    <xf numFmtId="188" fontId="5" fillId="0" borderId="0" xfId="56" applyNumberFormat="1" applyFont="1" applyFill="1" applyAlignment="1">
      <alignment/>
    </xf>
    <xf numFmtId="171" fontId="5" fillId="0" borderId="0" xfId="49" applyFont="1" applyBorder="1" applyAlignment="1">
      <alignment/>
    </xf>
    <xf numFmtId="17" fontId="5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88" fontId="5" fillId="0" borderId="0" xfId="56" applyNumberFormat="1" applyFont="1" applyAlignment="1">
      <alignment/>
    </xf>
    <xf numFmtId="179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5" fillId="0" borderId="10" xfId="49" applyNumberFormat="1" applyFont="1" applyFill="1" applyBorder="1" applyAlignment="1">
      <alignment horizontal="right" wrapText="1"/>
    </xf>
    <xf numFmtId="190" fontId="5" fillId="0" borderId="0" xfId="56" applyNumberFormat="1" applyFont="1" applyFill="1" applyAlignment="1">
      <alignment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170" fontId="5" fillId="0" borderId="0" xfId="52" applyFont="1" applyFill="1" applyAlignment="1">
      <alignment/>
    </xf>
    <xf numFmtId="201" fontId="5" fillId="0" borderId="0" xfId="0" applyNumberFormat="1" applyFont="1" applyFill="1" applyAlignment="1">
      <alignment/>
    </xf>
    <xf numFmtId="171" fontId="5" fillId="0" borderId="0" xfId="49" applyNumberFormat="1" applyFont="1" applyFill="1" applyAlignment="1">
      <alignment/>
    </xf>
    <xf numFmtId="198" fontId="4" fillId="0" borderId="0" xfId="0" applyNumberFormat="1" applyFont="1" applyFill="1" applyAlignment="1">
      <alignment/>
    </xf>
    <xf numFmtId="167" fontId="5" fillId="0" borderId="0" xfId="56" applyNumberFormat="1" applyFont="1" applyFill="1" applyAlignment="1">
      <alignment/>
    </xf>
    <xf numFmtId="171" fontId="7" fillId="0" borderId="0" xfId="49" applyFont="1" applyAlignment="1">
      <alignment/>
    </xf>
    <xf numFmtId="10" fontId="5" fillId="0" borderId="0" xfId="0" applyNumberFormat="1" applyFont="1" applyFill="1" applyAlignment="1">
      <alignment/>
    </xf>
    <xf numFmtId="171" fontId="5" fillId="0" borderId="10" xfId="49" applyFont="1" applyFill="1" applyBorder="1" applyAlignment="1">
      <alignment horizontal="left"/>
    </xf>
    <xf numFmtId="14" fontId="5" fillId="0" borderId="10" xfId="49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171" fontId="4" fillId="35" borderId="10" xfId="49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3" fontId="4" fillId="35" borderId="10" xfId="49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/>
    </xf>
    <xf numFmtId="171" fontId="5" fillId="35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0" fontId="62" fillId="36" borderId="0" xfId="0" applyFont="1" applyFill="1" applyAlignment="1">
      <alignment/>
    </xf>
    <xf numFmtId="0" fontId="63" fillId="36" borderId="0" xfId="0" applyFont="1" applyFill="1" applyAlignment="1">
      <alignment wrapText="1"/>
    </xf>
    <xf numFmtId="0" fontId="4" fillId="35" borderId="10" xfId="0" applyFont="1" applyFill="1" applyBorder="1" applyAlignment="1">
      <alignment/>
    </xf>
    <xf numFmtId="3" fontId="4" fillId="35" borderId="10" xfId="49" applyNumberFormat="1" applyFont="1" applyFill="1" applyBorder="1" applyAlignment="1">
      <alignment horizontal="center" wrapText="1"/>
    </xf>
    <xf numFmtId="3" fontId="4" fillId="35" borderId="10" xfId="49" applyNumberFormat="1" applyFont="1" applyFill="1" applyBorder="1" applyAlignment="1">
      <alignment horizontal="left" wrapText="1"/>
    </xf>
    <xf numFmtId="171" fontId="4" fillId="35" borderId="10" xfId="49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171" fontId="5" fillId="35" borderId="10" xfId="49" applyFont="1" applyFill="1" applyBorder="1" applyAlignment="1">
      <alignment/>
    </xf>
    <xf numFmtId="10" fontId="4" fillId="35" borderId="10" xfId="0" applyNumberFormat="1" applyFont="1" applyFill="1" applyBorder="1" applyAlignment="1">
      <alignment horizontal="center"/>
    </xf>
    <xf numFmtId="3" fontId="5" fillId="35" borderId="10" xfId="49" applyNumberFormat="1" applyFont="1" applyFill="1" applyBorder="1" applyAlignment="1">
      <alignment/>
    </xf>
    <xf numFmtId="171" fontId="4" fillId="35" borderId="10" xfId="0" applyNumberFormat="1" applyFont="1" applyFill="1" applyBorder="1" applyAlignment="1">
      <alignment/>
    </xf>
    <xf numFmtId="3" fontId="4" fillId="35" borderId="10" xfId="49" applyNumberFormat="1" applyFont="1" applyFill="1" applyBorder="1" applyAlignment="1">
      <alignment horizontal="right" wrapText="1"/>
    </xf>
    <xf numFmtId="3" fontId="5" fillId="0" borderId="12" xfId="49" applyNumberFormat="1" applyFont="1" applyFill="1" applyBorder="1" applyAlignment="1">
      <alignment/>
    </xf>
    <xf numFmtId="3" fontId="4" fillId="35" borderId="12" xfId="49" applyNumberFormat="1" applyFont="1" applyFill="1" applyBorder="1" applyAlignment="1">
      <alignment horizontal="left" wrapText="1"/>
    </xf>
    <xf numFmtId="167" fontId="5" fillId="0" borderId="10" xfId="49" applyNumberFormat="1" applyFont="1" applyBorder="1" applyAlignment="1">
      <alignment/>
    </xf>
    <xf numFmtId="167" fontId="5" fillId="33" borderId="10" xfId="49" applyNumberFormat="1" applyFont="1" applyFill="1" applyBorder="1" applyAlignment="1">
      <alignment/>
    </xf>
    <xf numFmtId="167" fontId="4" fillId="35" borderId="10" xfId="0" applyNumberFormat="1" applyFont="1" applyFill="1" applyBorder="1" applyAlignment="1">
      <alignment/>
    </xf>
    <xf numFmtId="200" fontId="4" fillId="0" borderId="0" xfId="56" applyNumberFormat="1" applyFont="1" applyAlignment="1">
      <alignment/>
    </xf>
    <xf numFmtId="0" fontId="4" fillId="35" borderId="10" xfId="0" applyFont="1" applyFill="1" applyBorder="1" applyAlignment="1">
      <alignment wrapText="1"/>
    </xf>
    <xf numFmtId="0" fontId="8" fillId="0" borderId="0" xfId="46" applyFont="1" applyAlignment="1" applyProtection="1">
      <alignment/>
      <protection/>
    </xf>
    <xf numFmtId="0" fontId="61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46" applyFont="1" applyFill="1" applyAlignment="1" applyProtection="1">
      <alignment/>
      <protection/>
    </xf>
    <xf numFmtId="0" fontId="9" fillId="36" borderId="0" xfId="0" applyFont="1" applyFill="1" applyAlignment="1">
      <alignment wrapText="1"/>
    </xf>
    <xf numFmtId="0" fontId="5" fillId="0" borderId="10" xfId="46" applyFont="1" applyFill="1" applyBorder="1" applyAlignment="1" applyProtection="1">
      <alignment wrapText="1"/>
      <protection/>
    </xf>
    <xf numFmtId="171" fontId="7" fillId="35" borderId="0" xfId="49" applyFont="1" applyFill="1" applyAlignment="1">
      <alignment/>
    </xf>
    <xf numFmtId="171" fontId="0" fillId="35" borderId="0" xfId="49" applyFont="1" applyFill="1" applyAlignment="1">
      <alignment/>
    </xf>
    <xf numFmtId="0" fontId="10" fillId="0" borderId="0" xfId="0" applyFont="1" applyFill="1" applyBorder="1" applyAlignment="1">
      <alignment/>
    </xf>
    <xf numFmtId="3" fontId="66" fillId="33" borderId="0" xfId="0" applyNumberFormat="1" applyFont="1" applyFill="1" applyAlignment="1">
      <alignment/>
    </xf>
    <xf numFmtId="171" fontId="5" fillId="0" borderId="0" xfId="49" applyNumberFormat="1" applyFont="1" applyFill="1" applyBorder="1" applyAlignment="1">
      <alignment/>
    </xf>
    <xf numFmtId="206" fontId="5" fillId="0" borderId="0" xfId="49" applyNumberFormat="1" applyFont="1" applyFill="1" applyBorder="1" applyAlignment="1">
      <alignment/>
    </xf>
    <xf numFmtId="206" fontId="5" fillId="0" borderId="10" xfId="49" applyNumberFormat="1" applyFont="1" applyFill="1" applyBorder="1" applyAlignment="1">
      <alignment/>
    </xf>
    <xf numFmtId="4" fontId="4" fillId="35" borderId="10" xfId="49" applyNumberFormat="1" applyFont="1" applyFill="1" applyBorder="1" applyAlignment="1">
      <alignment/>
    </xf>
    <xf numFmtId="206" fontId="4" fillId="35" borderId="10" xfId="49" applyNumberFormat="1" applyFont="1" applyFill="1" applyBorder="1" applyAlignment="1">
      <alignment/>
    </xf>
    <xf numFmtId="167" fontId="5" fillId="33" borderId="0" xfId="49" applyNumberFormat="1" applyFont="1" applyFill="1" applyAlignment="1">
      <alignment/>
    </xf>
    <xf numFmtId="171" fontId="5" fillId="33" borderId="0" xfId="49" applyFont="1" applyFill="1" applyAlignment="1">
      <alignment/>
    </xf>
    <xf numFmtId="171" fontId="5" fillId="33" borderId="0" xfId="0" applyNumberFormat="1" applyFont="1" applyFill="1" applyAlignment="1">
      <alignment/>
    </xf>
    <xf numFmtId="171" fontId="5" fillId="36" borderId="0" xfId="49" applyFont="1" applyFill="1" applyAlignment="1">
      <alignment/>
    </xf>
    <xf numFmtId="0" fontId="5" fillId="33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171" fontId="4" fillId="0" borderId="0" xfId="49" applyFont="1" applyBorder="1" applyAlignment="1">
      <alignment/>
    </xf>
    <xf numFmtId="3" fontId="4" fillId="0" borderId="0" xfId="0" applyNumberFormat="1" applyFont="1" applyBorder="1" applyAlignment="1">
      <alignment/>
    </xf>
    <xf numFmtId="189" fontId="5" fillId="0" borderId="0" xfId="56" applyNumberFormat="1" applyFont="1" applyFill="1" applyAlignment="1">
      <alignment/>
    </xf>
    <xf numFmtId="167" fontId="5" fillId="0" borderId="10" xfId="49" applyNumberFormat="1" applyFont="1" applyFill="1" applyBorder="1" applyAlignment="1">
      <alignment/>
    </xf>
    <xf numFmtId="170" fontId="5" fillId="0" borderId="0" xfId="49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167" fontId="4" fillId="0" borderId="0" xfId="49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3" fontId="5" fillId="33" borderId="10" xfId="49" applyNumberFormat="1" applyFont="1" applyFill="1" applyBorder="1" applyAlignment="1">
      <alignment/>
    </xf>
    <xf numFmtId="167" fontId="5" fillId="0" borderId="0" xfId="0" applyNumberFormat="1" applyFont="1" applyAlignment="1">
      <alignment/>
    </xf>
    <xf numFmtId="3" fontId="4" fillId="33" borderId="0" xfId="49" applyNumberFormat="1" applyFont="1" applyFill="1" applyBorder="1" applyAlignment="1">
      <alignment/>
    </xf>
    <xf numFmtId="3" fontId="5" fillId="33" borderId="0" xfId="49" applyNumberFormat="1" applyFont="1" applyFill="1" applyBorder="1" applyAlignment="1">
      <alignment/>
    </xf>
    <xf numFmtId="3" fontId="4" fillId="35" borderId="0" xfId="49" applyNumberFormat="1" applyFont="1" applyFill="1" applyBorder="1" applyAlignment="1">
      <alignment horizontal="left" wrapText="1"/>
    </xf>
    <xf numFmtId="3" fontId="4" fillId="35" borderId="0" xfId="49" applyNumberFormat="1" applyFont="1" applyFill="1" applyBorder="1" applyAlignment="1">
      <alignment/>
    </xf>
    <xf numFmtId="9" fontId="5" fillId="0" borderId="0" xfId="49" applyNumberFormat="1" applyFont="1" applyAlignment="1">
      <alignment/>
    </xf>
    <xf numFmtId="198" fontId="5" fillId="0" borderId="0" xfId="56" applyNumberFormat="1" applyFont="1" applyAlignment="1">
      <alignment/>
    </xf>
    <xf numFmtId="167" fontId="5" fillId="0" borderId="0" xfId="49" applyNumberFormat="1" applyFont="1" applyAlignment="1">
      <alignment/>
    </xf>
    <xf numFmtId="199" fontId="5" fillId="0" borderId="0" xfId="56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17" fontId="0" fillId="0" borderId="0" xfId="0" applyNumberFormat="1" applyAlignment="1">
      <alignment/>
    </xf>
    <xf numFmtId="199" fontId="7" fillId="0" borderId="0" xfId="0" applyNumberFormat="1" applyFont="1" applyAlignment="1">
      <alignment/>
    </xf>
    <xf numFmtId="17" fontId="0" fillId="33" borderId="0" xfId="0" applyNumberFormat="1" applyFill="1" applyAlignment="1">
      <alignment/>
    </xf>
    <xf numFmtId="171" fontId="0" fillId="33" borderId="0" xfId="49" applyFont="1" applyFill="1" applyAlignment="1">
      <alignment/>
    </xf>
    <xf numFmtId="171" fontId="0" fillId="0" borderId="0" xfId="0" applyNumberFormat="1" applyAlignment="1">
      <alignment/>
    </xf>
    <xf numFmtId="171" fontId="0" fillId="33" borderId="0" xfId="0" applyNumberFormat="1" applyFill="1" applyAlignment="1">
      <alignment/>
    </xf>
    <xf numFmtId="171" fontId="7" fillId="0" borderId="0" xfId="0" applyNumberFormat="1" applyFont="1" applyAlignment="1">
      <alignment/>
    </xf>
    <xf numFmtId="0" fontId="0" fillId="33" borderId="0" xfId="0" applyFill="1" applyAlignment="1">
      <alignment/>
    </xf>
    <xf numFmtId="17" fontId="7" fillId="0" borderId="0" xfId="0" applyNumberFormat="1" applyFont="1" applyAlignment="1">
      <alignment/>
    </xf>
    <xf numFmtId="189" fontId="7" fillId="0" borderId="0" xfId="56" applyNumberFormat="1" applyFont="1" applyAlignment="1">
      <alignment/>
    </xf>
    <xf numFmtId="167" fontId="7" fillId="0" borderId="0" xfId="0" applyNumberFormat="1" applyFont="1" applyAlignment="1">
      <alignment/>
    </xf>
    <xf numFmtId="14" fontId="5" fillId="0" borderId="0" xfId="49" applyNumberFormat="1" applyFont="1" applyFill="1" applyAlignment="1">
      <alignment/>
    </xf>
    <xf numFmtId="206" fontId="5" fillId="0" borderId="0" xfId="49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171" fontId="5" fillId="33" borderId="0" xfId="49" applyFont="1" applyFill="1" applyBorder="1" applyAlignment="1">
      <alignment/>
    </xf>
    <xf numFmtId="171" fontId="2" fillId="0" borderId="0" xfId="46" applyNumberFormat="1" applyAlignment="1" applyProtection="1">
      <alignment/>
      <protection/>
    </xf>
    <xf numFmtId="171" fontId="0" fillId="0" borderId="0" xfId="49" applyFont="1" applyAlignment="1">
      <alignment/>
    </xf>
    <xf numFmtId="10" fontId="5" fillId="0" borderId="0" xfId="56" applyNumberFormat="1" applyFont="1" applyFill="1" applyAlignment="1">
      <alignment/>
    </xf>
    <xf numFmtId="202" fontId="5" fillId="33" borderId="10" xfId="49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3" fontId="66" fillId="0" borderId="10" xfId="49" applyNumberFormat="1" applyFont="1" applyFill="1" applyBorder="1" applyAlignment="1">
      <alignment/>
    </xf>
    <xf numFmtId="167" fontId="0" fillId="33" borderId="0" xfId="0" applyNumberFormat="1" applyFill="1" applyAlignment="1">
      <alignment/>
    </xf>
    <xf numFmtId="190" fontId="0" fillId="33" borderId="0" xfId="56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66" fillId="34" borderId="0" xfId="0" applyFont="1" applyFill="1" applyBorder="1" applyAlignment="1">
      <alignment/>
    </xf>
    <xf numFmtId="198" fontId="4" fillId="0" borderId="0" xfId="56" applyNumberFormat="1" applyFont="1" applyFill="1" applyAlignment="1">
      <alignment/>
    </xf>
    <xf numFmtId="0" fontId="4" fillId="0" borderId="10" xfId="0" applyFont="1" applyBorder="1" applyAlignment="1">
      <alignment wrapText="1"/>
    </xf>
    <xf numFmtId="3" fontId="4" fillId="0" borderId="0" xfId="49" applyNumberFormat="1" applyFont="1" applyFill="1" applyBorder="1" applyAlignment="1">
      <alignment horizontal="left" wrapText="1"/>
    </xf>
    <xf numFmtId="3" fontId="4" fillId="0" borderId="10" xfId="49" applyNumberFormat="1" applyFont="1" applyFill="1" applyBorder="1" applyAlignment="1">
      <alignment horizontal="center" wrapText="1"/>
    </xf>
    <xf numFmtId="171" fontId="66" fillId="0" borderId="0" xfId="49" applyFont="1" applyAlignment="1">
      <alignment/>
    </xf>
    <xf numFmtId="10" fontId="4" fillId="33" borderId="0" xfId="0" applyNumberFormat="1" applyFont="1" applyFill="1" applyAlignment="1">
      <alignment horizontal="center"/>
    </xf>
    <xf numFmtId="17" fontId="5" fillId="0" borderId="0" xfId="49" applyNumberFormat="1" applyFont="1" applyFill="1" applyAlignment="1">
      <alignment horizontal="left"/>
    </xf>
    <xf numFmtId="17" fontId="5" fillId="33" borderId="0" xfId="49" applyNumberFormat="1" applyFont="1" applyFill="1" applyAlignment="1">
      <alignment horizontal="left"/>
    </xf>
    <xf numFmtId="188" fontId="4" fillId="0" borderId="0" xfId="49" applyNumberFormat="1" applyFont="1" applyFill="1" applyAlignment="1">
      <alignment/>
    </xf>
    <xf numFmtId="3" fontId="5" fillId="36" borderId="10" xfId="49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4" fillId="35" borderId="14" xfId="0" applyFont="1" applyFill="1" applyBorder="1" applyAlignment="1">
      <alignment/>
    </xf>
    <xf numFmtId="167" fontId="5" fillId="33" borderId="0" xfId="0" applyNumberFormat="1" applyFont="1" applyFill="1" applyAlignment="1">
      <alignment/>
    </xf>
    <xf numFmtId="190" fontId="5" fillId="33" borderId="0" xfId="56" applyNumberFormat="1" applyFont="1" applyFill="1" applyAlignment="1">
      <alignment/>
    </xf>
    <xf numFmtId="171" fontId="4" fillId="35" borderId="0" xfId="0" applyNumberFormat="1" applyFont="1" applyFill="1" applyBorder="1" applyAlignment="1">
      <alignment/>
    </xf>
    <xf numFmtId="3" fontId="4" fillId="35" borderId="0" xfId="49" applyNumberFormat="1" applyFont="1" applyFill="1" applyBorder="1" applyAlignment="1">
      <alignment horizontal="left"/>
    </xf>
    <xf numFmtId="0" fontId="13" fillId="0" borderId="0" xfId="0" applyFont="1" applyAlignment="1">
      <alignment/>
    </xf>
    <xf numFmtId="171" fontId="13" fillId="0" borderId="0" xfId="49" applyFont="1" applyAlignment="1">
      <alignment/>
    </xf>
    <xf numFmtId="0" fontId="9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206" fontId="13" fillId="0" borderId="0" xfId="49" applyNumberFormat="1" applyFont="1" applyFill="1" applyAlignment="1">
      <alignment horizontal="center" wrapText="1"/>
    </xf>
    <xf numFmtId="206" fontId="13" fillId="0" borderId="0" xfId="49" applyNumberFormat="1" applyFont="1" applyAlignment="1">
      <alignment/>
    </xf>
    <xf numFmtId="0" fontId="9" fillId="0" borderId="0" xfId="0" applyFont="1" applyAlignment="1">
      <alignment/>
    </xf>
    <xf numFmtId="171" fontId="9" fillId="0" borderId="0" xfId="49" applyFont="1" applyFill="1" applyAlignment="1">
      <alignment horizontal="center" wrapText="1"/>
    </xf>
    <xf numFmtId="171" fontId="9" fillId="0" borderId="0" xfId="49" applyFont="1" applyAlignment="1">
      <alignment horizontal="center"/>
    </xf>
    <xf numFmtId="171" fontId="9" fillId="0" borderId="0" xfId="49" applyFont="1" applyAlignment="1">
      <alignment/>
    </xf>
    <xf numFmtId="206" fontId="9" fillId="0" borderId="0" xfId="49" applyNumberFormat="1" applyFont="1" applyAlignment="1">
      <alignment horizontal="center"/>
    </xf>
    <xf numFmtId="0" fontId="14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06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10" xfId="46" applyFont="1" applyFill="1" applyBorder="1" applyAlignment="1" applyProtection="1">
      <alignment wrapText="1"/>
      <protection/>
    </xf>
    <xf numFmtId="206" fontId="0" fillId="0" borderId="10" xfId="49" applyNumberFormat="1" applyFont="1" applyFill="1" applyBorder="1" applyAlignment="1">
      <alignment/>
    </xf>
    <xf numFmtId="3" fontId="0" fillId="0" borderId="10" xfId="49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0" fontId="0" fillId="0" borderId="0" xfId="46" applyFont="1" applyFill="1" applyBorder="1" applyAlignment="1" applyProtection="1">
      <alignment wrapText="1"/>
      <protection/>
    </xf>
    <xf numFmtId="3" fontId="0" fillId="0" borderId="0" xfId="0" applyNumberFormat="1" applyFont="1" applyFill="1" applyAlignment="1">
      <alignment/>
    </xf>
    <xf numFmtId="206" fontId="0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/>
    </xf>
    <xf numFmtId="206" fontId="7" fillId="0" borderId="10" xfId="49" applyNumberFormat="1" applyFont="1" applyFill="1" applyBorder="1" applyAlignment="1">
      <alignment/>
    </xf>
    <xf numFmtId="3" fontId="7" fillId="0" borderId="10" xfId="49" applyNumberFormat="1" applyFont="1" applyFill="1" applyBorder="1" applyAlignment="1">
      <alignment/>
    </xf>
    <xf numFmtId="10" fontId="7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/>
    </xf>
    <xf numFmtId="171" fontId="0" fillId="0" borderId="10" xfId="49" applyFont="1" applyFill="1" applyBorder="1" applyAlignment="1">
      <alignment/>
    </xf>
    <xf numFmtId="10" fontId="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7" fillId="0" borderId="10" xfId="49" applyNumberFormat="1" applyFont="1" applyFill="1" applyBorder="1" applyAlignment="1">
      <alignment/>
    </xf>
    <xf numFmtId="3" fontId="7" fillId="0" borderId="0" xfId="49" applyNumberFormat="1" applyFont="1" applyFill="1" applyBorder="1" applyAlignment="1">
      <alignment/>
    </xf>
    <xf numFmtId="198" fontId="7" fillId="0" borderId="0" xfId="56" applyNumberFormat="1" applyFont="1" applyFill="1" applyAlignment="1">
      <alignment/>
    </xf>
    <xf numFmtId="0" fontId="0" fillId="0" borderId="10" xfId="0" applyFont="1" applyFill="1" applyBorder="1" applyAlignment="1">
      <alignment wrapText="1"/>
    </xf>
    <xf numFmtId="171" fontId="0" fillId="0" borderId="0" xfId="49" applyNumberFormat="1" applyFont="1" applyFill="1" applyBorder="1" applyAlignment="1">
      <alignment/>
    </xf>
    <xf numFmtId="171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49" applyFont="1" applyFill="1" applyAlignment="1">
      <alignment/>
    </xf>
    <xf numFmtId="206" fontId="69" fillId="0" borderId="0" xfId="49" applyNumberFormat="1" applyFont="1" applyFill="1" applyAlignment="1">
      <alignment/>
    </xf>
    <xf numFmtId="171" fontId="69" fillId="0" borderId="0" xfId="49" applyFont="1" applyFill="1" applyAlignment="1">
      <alignment horizontal="center" wrapText="1"/>
    </xf>
    <xf numFmtId="171" fontId="70" fillId="0" borderId="0" xfId="49" applyFont="1" applyFill="1" applyAlignment="1">
      <alignment/>
    </xf>
    <xf numFmtId="171" fontId="63" fillId="0" borderId="15" xfId="49" applyFont="1" applyFill="1" applyBorder="1" applyAlignment="1">
      <alignment horizontal="center" wrapText="1"/>
    </xf>
    <xf numFmtId="206" fontId="9" fillId="0" borderId="0" xfId="0" applyNumberFormat="1" applyFont="1" applyFill="1" applyBorder="1" applyAlignment="1">
      <alignment wrapText="1"/>
    </xf>
    <xf numFmtId="206" fontId="9" fillId="0" borderId="0" xfId="49" applyNumberFormat="1" applyFont="1" applyFill="1" applyBorder="1" applyAlignment="1">
      <alignment wrapText="1"/>
    </xf>
    <xf numFmtId="206" fontId="13" fillId="0" borderId="0" xfId="49" applyNumberFormat="1" applyFont="1" applyFill="1" applyBorder="1" applyAlignment="1">
      <alignment wrapText="1"/>
    </xf>
    <xf numFmtId="206" fontId="13" fillId="0" borderId="14" xfId="49" applyNumberFormat="1" applyFont="1" applyFill="1" applyBorder="1" applyAlignment="1">
      <alignment wrapText="1"/>
    </xf>
    <xf numFmtId="206" fontId="9" fillId="0" borderId="0" xfId="0" applyNumberFormat="1" applyFont="1" applyFill="1" applyAlignment="1">
      <alignment wrapText="1"/>
    </xf>
    <xf numFmtId="195" fontId="13" fillId="0" borderId="0" xfId="49" applyNumberFormat="1" applyFont="1" applyFill="1" applyBorder="1" applyAlignment="1">
      <alignment/>
    </xf>
    <xf numFmtId="206" fontId="9" fillId="0" borderId="16" xfId="0" applyNumberFormat="1" applyFont="1" applyFill="1" applyBorder="1" applyAlignment="1">
      <alignment wrapText="1"/>
    </xf>
    <xf numFmtId="206" fontId="7" fillId="0" borderId="0" xfId="49" applyNumberFormat="1" applyFont="1" applyAlignment="1">
      <alignment horizontal="center"/>
    </xf>
    <xf numFmtId="0" fontId="7" fillId="0" borderId="14" xfId="49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171" fontId="7" fillId="0" borderId="0" xfId="49" applyFont="1" applyAlignment="1">
      <alignment horizontal="center"/>
    </xf>
    <xf numFmtId="171" fontId="7" fillId="0" borderId="0" xfId="49" applyFont="1" applyAlignment="1">
      <alignment horizontal="left"/>
    </xf>
    <xf numFmtId="171" fontId="0" fillId="0" borderId="0" xfId="49" applyFont="1" applyAlignment="1">
      <alignment/>
    </xf>
    <xf numFmtId="206" fontId="0" fillId="0" borderId="0" xfId="49" applyNumberFormat="1" applyFont="1" applyFill="1" applyAlignment="1">
      <alignment horizontal="center" wrapText="1"/>
    </xf>
    <xf numFmtId="206" fontId="0" fillId="15" borderId="0" xfId="49" applyNumberFormat="1" applyFont="1" applyFill="1" applyAlignment="1">
      <alignment horizontal="center" wrapText="1"/>
    </xf>
    <xf numFmtId="206" fontId="0" fillId="33" borderId="0" xfId="49" applyNumberFormat="1" applyFont="1" applyFill="1" applyAlignment="1">
      <alignment horizontal="center" wrapText="1"/>
    </xf>
    <xf numFmtId="206" fontId="0" fillId="37" borderId="0" xfId="49" applyNumberFormat="1" applyFont="1" applyFill="1" applyAlignment="1">
      <alignment horizontal="center" wrapText="1"/>
    </xf>
    <xf numFmtId="206" fontId="0" fillId="38" borderId="0" xfId="49" applyNumberFormat="1" applyFont="1" applyFill="1" applyAlignment="1">
      <alignment horizontal="center" wrapText="1"/>
    </xf>
    <xf numFmtId="206" fontId="0" fillId="13" borderId="0" xfId="49" applyNumberFormat="1" applyFont="1" applyFill="1" applyAlignment="1">
      <alignment horizontal="center" wrapText="1"/>
    </xf>
    <xf numFmtId="171" fontId="0" fillId="28" borderId="0" xfId="49" applyFont="1" applyFill="1" applyAlignment="1">
      <alignment/>
    </xf>
    <xf numFmtId="171" fontId="0" fillId="2" borderId="0" xfId="49" applyFont="1" applyFill="1" applyAlignment="1">
      <alignment/>
    </xf>
    <xf numFmtId="171" fontId="0" fillId="39" borderId="0" xfId="49" applyFont="1" applyFill="1" applyAlignment="1">
      <alignment/>
    </xf>
    <xf numFmtId="171" fontId="0" fillId="14" borderId="0" xfId="49" applyFont="1" applyFill="1" applyAlignment="1">
      <alignment/>
    </xf>
    <xf numFmtId="171" fontId="0" fillId="40" borderId="0" xfId="49" applyFont="1" applyFill="1" applyAlignment="1">
      <alignment/>
    </xf>
    <xf numFmtId="206" fontId="7" fillId="0" borderId="0" xfId="49" applyNumberFormat="1" applyFont="1" applyFill="1" applyBorder="1" applyAlignment="1">
      <alignment horizontal="center" wrapText="1"/>
    </xf>
    <xf numFmtId="171" fontId="0" fillId="16" borderId="0" xfId="49" applyFont="1" applyFill="1" applyAlignment="1">
      <alignment/>
    </xf>
    <xf numFmtId="171" fontId="0" fillId="19" borderId="0" xfId="49" applyFont="1" applyFill="1" applyAlignment="1">
      <alignment/>
    </xf>
    <xf numFmtId="171" fontId="0" fillId="41" borderId="0" xfId="49" applyFont="1" applyFill="1" applyAlignment="1">
      <alignment/>
    </xf>
    <xf numFmtId="171" fontId="0" fillId="0" borderId="0" xfId="49" applyFont="1" applyAlignment="1" quotePrefix="1">
      <alignment/>
    </xf>
    <xf numFmtId="171" fontId="0" fillId="38" borderId="0" xfId="49" applyFont="1" applyFill="1" applyAlignment="1">
      <alignment/>
    </xf>
    <xf numFmtId="171" fontId="0" fillId="42" borderId="0" xfId="49" applyFont="1" applyFill="1" applyAlignment="1">
      <alignment/>
    </xf>
    <xf numFmtId="206" fontId="0" fillId="0" borderId="0" xfId="49" applyNumberFormat="1" applyFont="1" applyFill="1" applyAlignment="1">
      <alignment/>
    </xf>
    <xf numFmtId="206" fontId="0" fillId="0" borderId="0" xfId="49" applyNumberFormat="1" applyFont="1" applyAlignment="1">
      <alignment/>
    </xf>
    <xf numFmtId="0" fontId="7" fillId="0" borderId="0" xfId="0" applyFont="1" applyFill="1" applyAlignment="1">
      <alignment wrapText="1"/>
    </xf>
    <xf numFmtId="0" fontId="71" fillId="0" borderId="0" xfId="0" applyFont="1" applyFill="1" applyAlignment="1">
      <alignment wrapText="1"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206" fontId="0" fillId="0" borderId="0" xfId="49" applyNumberFormat="1" applyFont="1" applyAlignment="1">
      <alignment horizontal="center"/>
    </xf>
    <xf numFmtId="206" fontId="0" fillId="0" borderId="0" xfId="49" applyNumberFormat="1" applyFont="1" applyFill="1" applyAlignment="1">
      <alignment wrapText="1"/>
    </xf>
    <xf numFmtId="0" fontId="0" fillId="19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43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2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17" borderId="0" xfId="0" applyFont="1" applyFill="1" applyAlignment="1">
      <alignment/>
    </xf>
    <xf numFmtId="3" fontId="0" fillId="0" borderId="0" xfId="0" applyNumberFormat="1" applyFont="1" applyAlignment="1">
      <alignment/>
    </xf>
    <xf numFmtId="206" fontId="0" fillId="0" borderId="0" xfId="0" applyNumberFormat="1" applyFont="1" applyAlignment="1">
      <alignment/>
    </xf>
    <xf numFmtId="0" fontId="70" fillId="0" borderId="0" xfId="0" applyFont="1" applyFill="1" applyAlignment="1">
      <alignment/>
    </xf>
    <xf numFmtId="206" fontId="70" fillId="0" borderId="0" xfId="49" applyNumberFormat="1" applyFont="1" applyFill="1" applyAlignment="1">
      <alignment/>
    </xf>
    <xf numFmtId="0" fontId="71" fillId="0" borderId="0" xfId="0" applyFont="1" applyFill="1" applyAlignment="1">
      <alignment/>
    </xf>
    <xf numFmtId="206" fontId="71" fillId="0" borderId="0" xfId="49" applyNumberFormat="1" applyFont="1" applyFill="1" applyAlignment="1">
      <alignment/>
    </xf>
    <xf numFmtId="171" fontId="0" fillId="0" borderId="0" xfId="0" applyNumberFormat="1" applyFont="1" applyAlignment="1">
      <alignment/>
    </xf>
    <xf numFmtId="206" fontId="0" fillId="0" borderId="14" xfId="49" applyNumberFormat="1" applyFont="1" applyFill="1" applyBorder="1" applyAlignment="1">
      <alignment horizontal="center" wrapText="1"/>
    </xf>
    <xf numFmtId="206" fontId="7" fillId="0" borderId="16" xfId="49" applyNumberFormat="1" applyFont="1" applyFill="1" applyBorder="1" applyAlignment="1">
      <alignment horizontal="center" wrapText="1"/>
    </xf>
    <xf numFmtId="206" fontId="7" fillId="0" borderId="0" xfId="49" applyNumberFormat="1" applyFont="1" applyFill="1" applyBorder="1" applyAlignment="1">
      <alignment wrapText="1"/>
    </xf>
    <xf numFmtId="206" fontId="7" fillId="0" borderId="16" xfId="49" applyNumberFormat="1" applyFont="1" applyFill="1" applyBorder="1" applyAlignment="1">
      <alignment wrapText="1"/>
    </xf>
    <xf numFmtId="171" fontId="70" fillId="0" borderId="0" xfId="49" applyFont="1" applyAlignment="1">
      <alignment/>
    </xf>
    <xf numFmtId="0" fontId="0" fillId="0" borderId="0" xfId="0" applyFont="1" applyFill="1" applyAlignment="1">
      <alignment wrapText="1"/>
    </xf>
    <xf numFmtId="206" fontId="71" fillId="0" borderId="0" xfId="49" applyNumberFormat="1" applyFont="1" applyFill="1" applyAlignment="1">
      <alignment horizontal="center" wrapText="1"/>
    </xf>
    <xf numFmtId="171" fontId="7" fillId="0" borderId="0" xfId="51" applyFont="1" applyAlignment="1">
      <alignment/>
    </xf>
    <xf numFmtId="0" fontId="67" fillId="0" borderId="14" xfId="49" applyNumberFormat="1" applyFont="1" applyBorder="1" applyAlignment="1">
      <alignment horizontal="center"/>
    </xf>
    <xf numFmtId="206" fontId="68" fillId="0" borderId="0" xfId="49" applyNumberFormat="1" applyFont="1" applyFill="1" applyAlignment="1">
      <alignment horizontal="center" wrapText="1"/>
    </xf>
    <xf numFmtId="206" fontId="68" fillId="0" borderId="14" xfId="49" applyNumberFormat="1" applyFont="1" applyFill="1" applyBorder="1" applyAlignment="1">
      <alignment horizontal="center" wrapText="1"/>
    </xf>
    <xf numFmtId="206" fontId="67" fillId="0" borderId="0" xfId="49" applyNumberFormat="1" applyFont="1" applyFill="1" applyBorder="1" applyAlignment="1">
      <alignment horizontal="center" wrapText="1"/>
    </xf>
    <xf numFmtId="206" fontId="67" fillId="0" borderId="0" xfId="49" applyNumberFormat="1" applyFont="1" applyFill="1" applyAlignment="1">
      <alignment horizontal="center" wrapText="1"/>
    </xf>
    <xf numFmtId="206" fontId="68" fillId="0" borderId="0" xfId="49" applyNumberFormat="1" applyFont="1" applyAlignment="1">
      <alignment/>
    </xf>
    <xf numFmtId="206" fontId="68" fillId="33" borderId="0" xfId="49" applyNumberFormat="1" applyFont="1" applyFill="1" applyAlignment="1">
      <alignment/>
    </xf>
    <xf numFmtId="0" fontId="67" fillId="0" borderId="14" xfId="0" applyNumberFormat="1" applyFont="1" applyFill="1" applyBorder="1" applyAlignment="1">
      <alignment horizontal="center"/>
    </xf>
    <xf numFmtId="0" fontId="68" fillId="0" borderId="14" xfId="0" applyFont="1" applyFill="1" applyBorder="1" applyAlignment="1">
      <alignment/>
    </xf>
    <xf numFmtId="0" fontId="67" fillId="0" borderId="0" xfId="0" applyFont="1" applyFill="1" applyAlignment="1">
      <alignment wrapText="1"/>
    </xf>
    <xf numFmtId="0" fontId="68" fillId="0" borderId="0" xfId="0" applyFont="1" applyFill="1" applyAlignment="1">
      <alignment wrapText="1"/>
    </xf>
    <xf numFmtId="0" fontId="72" fillId="0" borderId="0" xfId="0" applyNumberFormat="1" applyFont="1" applyFill="1" applyAlignment="1">
      <alignment horizontal="center" wrapText="1"/>
    </xf>
    <xf numFmtId="0" fontId="72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 wrapText="1"/>
    </xf>
    <xf numFmtId="0" fontId="68" fillId="0" borderId="13" xfId="0" applyFont="1" applyFill="1" applyBorder="1" applyAlignment="1">
      <alignment/>
    </xf>
    <xf numFmtId="0" fontId="68" fillId="0" borderId="16" xfId="0" applyFont="1" applyFill="1" applyBorder="1" applyAlignment="1">
      <alignment/>
    </xf>
    <xf numFmtId="0" fontId="72" fillId="0" borderId="14" xfId="0" applyNumberFormat="1" applyFont="1" applyFill="1" applyBorder="1" applyAlignment="1">
      <alignment horizontal="center"/>
    </xf>
    <xf numFmtId="0" fontId="68" fillId="0" borderId="0" xfId="0" applyFont="1" applyFill="1" applyAlignment="1">
      <alignment vertical="center" wrapText="1"/>
    </xf>
    <xf numFmtId="37" fontId="0" fillId="0" borderId="0" xfId="0" applyNumberFormat="1" applyFont="1" applyFill="1" applyAlignment="1">
      <alignment horizontal="right"/>
    </xf>
    <xf numFmtId="37" fontId="0" fillId="0" borderId="14" xfId="0" applyNumberFormat="1" applyFont="1" applyFill="1" applyBorder="1" applyAlignment="1">
      <alignment horizontal="right"/>
    </xf>
    <xf numFmtId="37" fontId="7" fillId="0" borderId="0" xfId="0" applyNumberFormat="1" applyFont="1" applyFill="1" applyAlignment="1">
      <alignment horizontal="right"/>
    </xf>
    <xf numFmtId="0" fontId="73" fillId="0" borderId="0" xfId="0" applyFont="1" applyBorder="1" applyAlignment="1">
      <alignment vertical="top"/>
    </xf>
    <xf numFmtId="0" fontId="74" fillId="0" borderId="0" xfId="0" applyFont="1" applyBorder="1" applyAlignment="1">
      <alignment vertical="top"/>
    </xf>
    <xf numFmtId="195" fontId="0" fillId="0" borderId="14" xfId="49" applyNumberFormat="1" applyFont="1" applyFill="1" applyBorder="1" applyAlignment="1">
      <alignment wrapText="1"/>
    </xf>
    <xf numFmtId="195" fontId="0" fillId="0" borderId="0" xfId="49" applyNumberFormat="1" applyFont="1" applyFill="1" applyBorder="1" applyAlignment="1">
      <alignment wrapText="1"/>
    </xf>
    <xf numFmtId="206" fontId="7" fillId="0" borderId="0" xfId="49" applyNumberFormat="1" applyFont="1" applyFill="1" applyAlignment="1">
      <alignment wrapText="1"/>
    </xf>
    <xf numFmtId="206" fontId="7" fillId="0" borderId="0" xfId="49" applyNumberFormat="1" applyFont="1" applyAlignment="1">
      <alignment horizontal="center"/>
    </xf>
    <xf numFmtId="171" fontId="7" fillId="0" borderId="0" xfId="49" applyFont="1" applyAlignment="1">
      <alignment horizontal="center"/>
    </xf>
    <xf numFmtId="206" fontId="9" fillId="0" borderId="0" xfId="49" applyNumberFormat="1" applyFont="1" applyAlignment="1">
      <alignment horizontal="center"/>
    </xf>
    <xf numFmtId="171" fontId="9" fillId="0" borderId="0" xfId="49" applyFont="1" applyAlignment="1">
      <alignment horizontal="center"/>
    </xf>
    <xf numFmtId="206" fontId="67" fillId="0" borderId="0" xfId="49" applyNumberFormat="1" applyFont="1" applyAlignment="1">
      <alignment horizontal="center"/>
    </xf>
    <xf numFmtId="0" fontId="67" fillId="0" borderId="0" xfId="0" applyFont="1" applyFill="1" applyAlignment="1">
      <alignment horizontal="center"/>
    </xf>
    <xf numFmtId="0" fontId="68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3" fontId="4" fillId="35" borderId="14" xfId="49" applyNumberFormat="1" applyFont="1" applyFill="1" applyBorder="1" applyAlignment="1">
      <alignment horizontal="center" wrapText="1"/>
    </xf>
    <xf numFmtId="0" fontId="5" fillId="35" borderId="18" xfId="0" applyFont="1" applyFill="1" applyBorder="1" applyAlignment="1">
      <alignment horizontal="left" wrapText="1"/>
    </xf>
    <xf numFmtId="0" fontId="5" fillId="35" borderId="19" xfId="0" applyFont="1" applyFill="1" applyBorder="1" applyAlignment="1">
      <alignment horizontal="left" wrapText="1"/>
    </xf>
    <xf numFmtId="0" fontId="5" fillId="35" borderId="20" xfId="0" applyFont="1" applyFill="1" applyBorder="1" applyAlignment="1">
      <alignment horizontal="left" wrapText="1"/>
    </xf>
    <xf numFmtId="0" fontId="5" fillId="35" borderId="21" xfId="0" applyFont="1" applyFill="1" applyBorder="1" applyAlignment="1">
      <alignment horizontal="left" wrapText="1"/>
    </xf>
    <xf numFmtId="0" fontId="5" fillId="35" borderId="0" xfId="0" applyFont="1" applyFill="1" applyBorder="1" applyAlignment="1">
      <alignment horizontal="left" wrapText="1"/>
    </xf>
    <xf numFmtId="0" fontId="5" fillId="35" borderId="22" xfId="0" applyFont="1" applyFill="1" applyBorder="1" applyAlignment="1">
      <alignment horizontal="left" wrapText="1"/>
    </xf>
    <xf numFmtId="0" fontId="5" fillId="35" borderId="23" xfId="0" applyFont="1" applyFill="1" applyBorder="1" applyAlignment="1">
      <alignment horizontal="left" wrapText="1"/>
    </xf>
    <xf numFmtId="0" fontId="5" fillId="35" borderId="14" xfId="0" applyFont="1" applyFill="1" applyBorder="1" applyAlignment="1">
      <alignment horizontal="left" wrapText="1"/>
    </xf>
    <xf numFmtId="0" fontId="5" fillId="35" borderId="24" xfId="0" applyFont="1" applyFill="1" applyBorder="1" applyAlignment="1">
      <alignment horizontal="left" wrapText="1"/>
    </xf>
    <xf numFmtId="3" fontId="4" fillId="35" borderId="12" xfId="49" applyNumberFormat="1" applyFont="1" applyFill="1" applyBorder="1" applyAlignment="1">
      <alignment horizontal="left" wrapText="1"/>
    </xf>
    <xf numFmtId="3" fontId="4" fillId="35" borderId="17" xfId="49" applyNumberFormat="1" applyFont="1" applyFill="1" applyBorder="1" applyAlignment="1">
      <alignment horizontal="left" wrapText="1"/>
    </xf>
    <xf numFmtId="0" fontId="7" fillId="0" borderId="0" xfId="49" applyNumberFormat="1" applyFont="1" applyBorder="1" applyAlignment="1">
      <alignment horizontal="center"/>
    </xf>
    <xf numFmtId="206" fontId="0" fillId="0" borderId="0" xfId="49" applyNumberFormat="1" applyFont="1" applyFill="1" applyBorder="1" applyAlignment="1">
      <alignment horizontal="center" wrapText="1"/>
    </xf>
    <xf numFmtId="195" fontId="0" fillId="0" borderId="0" xfId="49" applyNumberFormat="1" applyFont="1" applyFill="1" applyBorder="1" applyAlignment="1">
      <alignment/>
    </xf>
    <xf numFmtId="195" fontId="0" fillId="0" borderId="14" xfId="49" applyNumberFormat="1" applyFont="1" applyFill="1" applyBorder="1" applyAlignment="1">
      <alignment/>
    </xf>
    <xf numFmtId="195" fontId="7" fillId="0" borderId="0" xfId="49" applyNumberFormat="1" applyFont="1" applyFill="1" applyBorder="1" applyAlignment="1">
      <alignment/>
    </xf>
    <xf numFmtId="206" fontId="68" fillId="0" borderId="16" xfId="49" applyNumberFormat="1" applyFont="1" applyBorder="1" applyAlignment="1">
      <alignment/>
    </xf>
    <xf numFmtId="3" fontId="68" fillId="0" borderId="0" xfId="0" applyNumberFormat="1" applyFont="1" applyFill="1" applyAlignment="1">
      <alignment/>
    </xf>
    <xf numFmtId="3" fontId="67" fillId="0" borderId="0" xfId="0" applyNumberFormat="1" applyFont="1" applyFill="1" applyAlignment="1">
      <alignment/>
    </xf>
    <xf numFmtId="3" fontId="68" fillId="0" borderId="14" xfId="0" applyNumberFormat="1" applyFont="1" applyFill="1" applyBorder="1" applyAlignment="1">
      <alignment/>
    </xf>
    <xf numFmtId="206" fontId="68" fillId="0" borderId="0" xfId="49" applyNumberFormat="1" applyFont="1" applyFill="1" applyAlignment="1">
      <alignment/>
    </xf>
    <xf numFmtId="206" fontId="68" fillId="0" borderId="14" xfId="49" applyNumberFormat="1" applyFont="1" applyFill="1" applyBorder="1" applyAlignment="1">
      <alignment/>
    </xf>
    <xf numFmtId="206" fontId="67" fillId="0" borderId="0" xfId="0" applyNumberFormat="1" applyFont="1" applyFill="1" applyAlignment="1">
      <alignment/>
    </xf>
    <xf numFmtId="0" fontId="68" fillId="33" borderId="0" xfId="0" applyFont="1" applyFill="1" applyAlignment="1">
      <alignment/>
    </xf>
    <xf numFmtId="3" fontId="68" fillId="33" borderId="0" xfId="0" applyNumberFormat="1" applyFont="1" applyFill="1" applyAlignment="1">
      <alignment/>
    </xf>
    <xf numFmtId="206" fontId="67" fillId="0" borderId="0" xfId="49" applyNumberFormat="1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Relationship Id="rId7" Type="http://schemas.openxmlformats.org/officeDocument/2006/relationships/image" Target="../media/image3.png" /><Relationship Id="rId8" Type="http://schemas.openxmlformats.org/officeDocument/2006/relationships/hyperlink" Target="#Conciliacion!A1" /><Relationship Id="rId9" Type="http://schemas.openxmlformats.org/officeDocument/2006/relationships/hyperlink" Target="#Conciliacion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Relationship Id="rId7" Type="http://schemas.openxmlformats.org/officeDocument/2006/relationships/image" Target="../media/image4.png" /><Relationship Id="rId8" Type="http://schemas.openxmlformats.org/officeDocument/2006/relationships/hyperlink" Target="#Impopatrimonio!A1" /><Relationship Id="rId9" Type="http://schemas.openxmlformats.org/officeDocument/2006/relationships/hyperlink" Target="#Impopatrimonio!A1" /><Relationship Id="rId10" Type="http://schemas.openxmlformats.org/officeDocument/2006/relationships/image" Target="../media/image5.png" /><Relationship Id="rId11" Type="http://schemas.openxmlformats.org/officeDocument/2006/relationships/hyperlink" Target="#Laboral!A1" /><Relationship Id="rId12" Type="http://schemas.openxmlformats.org/officeDocument/2006/relationships/hyperlink" Target="#Laboral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Relationship Id="rId7" Type="http://schemas.openxmlformats.org/officeDocument/2006/relationships/image" Target="../media/image6.png" /><Relationship Id="rId8" Type="http://schemas.openxmlformats.org/officeDocument/2006/relationships/hyperlink" Target="#Pasivos!A1" /><Relationship Id="rId9" Type="http://schemas.openxmlformats.org/officeDocument/2006/relationships/hyperlink" Target="#Pasivo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1114425</xdr:colOff>
      <xdr:row>0</xdr:row>
      <xdr:rowOff>0</xdr:rowOff>
    </xdr:from>
    <xdr:to>
      <xdr:col>0</xdr:col>
      <xdr:colOff>2019300</xdr:colOff>
      <xdr:row>0</xdr:row>
      <xdr:rowOff>609600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0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1219200</xdr:colOff>
      <xdr:row>0</xdr:row>
      <xdr:rowOff>0</xdr:rowOff>
    </xdr:from>
    <xdr:to>
      <xdr:col>5</xdr:col>
      <xdr:colOff>1219200</xdr:colOff>
      <xdr:row>0</xdr:row>
      <xdr:rowOff>619125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4075" y="0"/>
          <a:ext cx="1219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114300</xdr:colOff>
      <xdr:row>0</xdr:row>
      <xdr:rowOff>619125</xdr:rowOff>
    </xdr:to>
    <xdr:pic>
      <xdr:nvPicPr>
        <xdr:cNvPr id="3" name="Imagen 6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24075" y="0"/>
          <a:ext cx="1552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1057275</xdr:colOff>
      <xdr:row>0</xdr:row>
      <xdr:rowOff>685800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0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0</xdr:row>
      <xdr:rowOff>0</xdr:rowOff>
    </xdr:from>
    <xdr:to>
      <xdr:col>4</xdr:col>
      <xdr:colOff>266700</xdr:colOff>
      <xdr:row>1</xdr:row>
      <xdr:rowOff>0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05300" y="0"/>
          <a:ext cx="1390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1057275</xdr:colOff>
      <xdr:row>0</xdr:row>
      <xdr:rowOff>609600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0</xdr:row>
      <xdr:rowOff>9525</xdr:rowOff>
    </xdr:from>
    <xdr:to>
      <xdr:col>3</xdr:col>
      <xdr:colOff>1076325</xdr:colOff>
      <xdr:row>0</xdr:row>
      <xdr:rowOff>619125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9525"/>
          <a:ext cx="1200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0</xdr:rowOff>
    </xdr:from>
    <xdr:to>
      <xdr:col>1</xdr:col>
      <xdr:colOff>1057275</xdr:colOff>
      <xdr:row>1</xdr:row>
      <xdr:rowOff>38100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1371600</xdr:colOff>
      <xdr:row>1</xdr:row>
      <xdr:rowOff>0</xdr:rowOff>
    </xdr:to>
    <xdr:pic>
      <xdr:nvPicPr>
        <xdr:cNvPr id="2" name="Imagen 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0"/>
          <a:ext cx="1371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1047750</xdr:colOff>
      <xdr:row>0</xdr:row>
      <xdr:rowOff>685800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1009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1285875</xdr:colOff>
      <xdr:row>0</xdr:row>
      <xdr:rowOff>0</xdr:rowOff>
    </xdr:from>
    <xdr:to>
      <xdr:col>3</xdr:col>
      <xdr:colOff>1390650</xdr:colOff>
      <xdr:row>1</xdr:row>
      <xdr:rowOff>9525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67225" y="0"/>
          <a:ext cx="1390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1057275</xdr:colOff>
      <xdr:row>1</xdr:row>
      <xdr:rowOff>28575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1352550</xdr:colOff>
      <xdr:row>0</xdr:row>
      <xdr:rowOff>685800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0" y="0"/>
          <a:ext cx="1343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1057275</xdr:colOff>
      <xdr:row>0</xdr:row>
      <xdr:rowOff>685800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1409700</xdr:colOff>
      <xdr:row>0</xdr:row>
      <xdr:rowOff>0</xdr:rowOff>
    </xdr:from>
    <xdr:to>
      <xdr:col>4</xdr:col>
      <xdr:colOff>114300</xdr:colOff>
      <xdr:row>1</xdr:row>
      <xdr:rowOff>9525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38550" y="0"/>
          <a:ext cx="1390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1057275</xdr:colOff>
      <xdr:row>0</xdr:row>
      <xdr:rowOff>685800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0</xdr:row>
      <xdr:rowOff>0</xdr:rowOff>
    </xdr:from>
    <xdr:to>
      <xdr:col>4</xdr:col>
      <xdr:colOff>180975</xdr:colOff>
      <xdr:row>1</xdr:row>
      <xdr:rowOff>0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67075" y="0"/>
          <a:ext cx="1390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1057275</xdr:colOff>
      <xdr:row>0</xdr:row>
      <xdr:rowOff>685800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1343025</xdr:colOff>
      <xdr:row>0</xdr:row>
      <xdr:rowOff>0</xdr:rowOff>
    </xdr:from>
    <xdr:to>
      <xdr:col>4</xdr:col>
      <xdr:colOff>314325</xdr:colOff>
      <xdr:row>1</xdr:row>
      <xdr:rowOff>0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0"/>
          <a:ext cx="1390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1057275</xdr:colOff>
      <xdr:row>0</xdr:row>
      <xdr:rowOff>685800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1362075</xdr:colOff>
      <xdr:row>0</xdr:row>
      <xdr:rowOff>0</xdr:rowOff>
    </xdr:from>
    <xdr:to>
      <xdr:col>4</xdr:col>
      <xdr:colOff>180975</xdr:colOff>
      <xdr:row>1</xdr:row>
      <xdr:rowOff>9525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86225" y="0"/>
          <a:ext cx="1390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17</xdr:row>
      <xdr:rowOff>161925</xdr:rowOff>
    </xdr:from>
    <xdr:to>
      <xdr:col>7</xdr:col>
      <xdr:colOff>552450</xdr:colOff>
      <xdr:row>22</xdr:row>
      <xdr:rowOff>142875</xdr:rowOff>
    </xdr:to>
    <xdr:pic>
      <xdr:nvPicPr>
        <xdr:cNvPr id="3" name="Imagen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96200" y="3819525"/>
          <a:ext cx="1943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44</xdr:row>
      <xdr:rowOff>19050</xdr:rowOff>
    </xdr:from>
    <xdr:to>
      <xdr:col>1</xdr:col>
      <xdr:colOff>1228725</xdr:colOff>
      <xdr:row>48</xdr:row>
      <xdr:rowOff>114300</xdr:rowOff>
    </xdr:to>
    <xdr:pic>
      <xdr:nvPicPr>
        <xdr:cNvPr id="4" name="Imagen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5300" y="8601075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1057275</xdr:colOff>
      <xdr:row>1</xdr:row>
      <xdr:rowOff>19050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0"/>
          <a:ext cx="1019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0</xdr:rowOff>
    </xdr:from>
    <xdr:to>
      <xdr:col>4</xdr:col>
      <xdr:colOff>276225</xdr:colOff>
      <xdr:row>1</xdr:row>
      <xdr:rowOff>38100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0"/>
          <a:ext cx="1381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19050</xdr:rowOff>
    </xdr:from>
    <xdr:to>
      <xdr:col>6</xdr:col>
      <xdr:colOff>904875</xdr:colOff>
      <xdr:row>0</xdr:row>
      <xdr:rowOff>666750</xdr:rowOff>
    </xdr:to>
    <xdr:pic>
      <xdr:nvPicPr>
        <xdr:cNvPr id="3" name="Imagen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00950" y="1905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ovarong@yaho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pages.stern.nyu.edu/~adamodar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eovarong@yahoo.com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eovarong@yahoo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2"/>
  <sheetViews>
    <sheetView showGridLines="0" zoomScale="110" zoomScaleNormal="110" workbookViewId="0" topLeftCell="A1">
      <pane xSplit="1" ySplit="4" topLeftCell="F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0" sqref="G40"/>
    </sheetView>
  </sheetViews>
  <sheetFormatPr defaultColWidth="11.421875" defaultRowHeight="12.75"/>
  <cols>
    <col min="1" max="1" width="31.8515625" style="16" customWidth="1"/>
    <col min="2" max="2" width="21.57421875" style="26" hidden="1" customWidth="1"/>
    <col min="3" max="4" width="21.57421875" style="16" hidden="1" customWidth="1"/>
    <col min="5" max="5" width="21.57421875" style="17" hidden="1" customWidth="1"/>
    <col min="6" max="6" width="21.57421875" style="40" customWidth="1"/>
    <col min="7" max="7" width="21.57421875" style="16" customWidth="1"/>
    <col min="8" max="16384" width="11.421875" style="16" customWidth="1"/>
  </cols>
  <sheetData>
    <row r="1" spans="1:6" s="82" customFormat="1" ht="62.25" customHeight="1">
      <c r="A1" s="106" t="s">
        <v>173</v>
      </c>
      <c r="B1" s="84" t="s">
        <v>174</v>
      </c>
      <c r="C1" s="84"/>
      <c r="D1" s="84" t="s">
        <v>214</v>
      </c>
      <c r="E1" s="84"/>
      <c r="F1" s="84"/>
    </row>
    <row r="2" spans="1:6" s="104" customFormat="1" ht="15">
      <c r="A2" s="28" t="s">
        <v>50</v>
      </c>
      <c r="B2" s="103"/>
      <c r="D2" s="103" t="s">
        <v>175</v>
      </c>
      <c r="E2" s="105" t="s">
        <v>129</v>
      </c>
      <c r="F2" s="21"/>
    </row>
    <row r="3" spans="1:6" s="104" customFormat="1" ht="15">
      <c r="A3" s="28" t="s">
        <v>85</v>
      </c>
      <c r="B3" s="103"/>
      <c r="C3" s="103"/>
      <c r="D3" s="103"/>
      <c r="E3" s="103"/>
      <c r="F3" s="21"/>
    </row>
    <row r="4" spans="1:6" ht="15">
      <c r="A4" s="85" t="s">
        <v>491</v>
      </c>
      <c r="B4" s="76" t="s">
        <v>176</v>
      </c>
      <c r="C4" s="76" t="s">
        <v>33</v>
      </c>
      <c r="D4" s="76" t="s">
        <v>177</v>
      </c>
      <c r="E4" s="76" t="s">
        <v>64</v>
      </c>
      <c r="F4" s="76" t="s">
        <v>224</v>
      </c>
    </row>
    <row r="5" spans="2:8" ht="15">
      <c r="B5" s="113"/>
      <c r="C5" s="24"/>
      <c r="D5" s="24"/>
      <c r="E5" s="24"/>
      <c r="F5" s="24"/>
      <c r="H5" s="25"/>
    </row>
    <row r="6" spans="1:6" ht="14.25">
      <c r="A6" s="107" t="s">
        <v>622</v>
      </c>
      <c r="B6" s="114">
        <f>+Efectivo!C11</f>
        <v>248254000</v>
      </c>
      <c r="C6" s="6"/>
      <c r="D6" s="6"/>
      <c r="E6" s="6"/>
      <c r="F6" s="6">
        <f>+B6+C6+D6+E6</f>
        <v>248254000</v>
      </c>
    </row>
    <row r="7" spans="1:6" ht="14.25">
      <c r="A7" s="107" t="s">
        <v>623</v>
      </c>
      <c r="B7" s="114"/>
      <c r="C7" s="6">
        <f>+'Bal prueba 010115'!D79</f>
        <v>537525000</v>
      </c>
      <c r="D7" s="6"/>
      <c r="E7" s="6"/>
      <c r="F7" s="6">
        <f>+B7+C7+D7+E7</f>
        <v>537525000</v>
      </c>
    </row>
    <row r="8" spans="1:8" ht="14.25">
      <c r="A8" s="107" t="s">
        <v>300</v>
      </c>
      <c r="B8" s="114"/>
      <c r="C8" s="6"/>
      <c r="D8" s="6"/>
      <c r="E8" s="6"/>
      <c r="F8" s="6">
        <f>+Deudores!E7</f>
        <v>1103590859.7188065</v>
      </c>
      <c r="H8" s="49"/>
    </row>
    <row r="9" spans="1:8" ht="14.25">
      <c r="A9" s="107" t="s">
        <v>6</v>
      </c>
      <c r="B9" s="114"/>
      <c r="C9" s="6"/>
      <c r="D9" s="6"/>
      <c r="E9" s="6"/>
      <c r="F9" s="6">
        <f>+Deudores!E8</f>
        <v>6551452</v>
      </c>
      <c r="H9" s="49"/>
    </row>
    <row r="10" spans="1:8" ht="14.25">
      <c r="A10" s="107" t="s">
        <v>57</v>
      </c>
      <c r="B10" s="114"/>
      <c r="C10" s="6"/>
      <c r="D10" s="6"/>
      <c r="E10" s="6"/>
      <c r="F10" s="6">
        <f>+Deudores!E9</f>
        <v>127526000</v>
      </c>
      <c r="H10" s="49"/>
    </row>
    <row r="11" spans="1:8" ht="28.5">
      <c r="A11" s="107" t="s">
        <v>127</v>
      </c>
      <c r="B11" s="114"/>
      <c r="C11" s="6"/>
      <c r="D11" s="6"/>
      <c r="E11" s="6"/>
      <c r="F11" s="6">
        <f>+Deudores!E10</f>
        <v>32109812.515217856</v>
      </c>
      <c r="H11" s="49"/>
    </row>
    <row r="12" spans="1:8" ht="14.25">
      <c r="A12" s="107" t="s">
        <v>16</v>
      </c>
      <c r="B12" s="114"/>
      <c r="C12" s="6"/>
      <c r="D12" s="6"/>
      <c r="E12" s="6"/>
      <c r="F12" s="6">
        <f>+Deudores!E12</f>
        <v>217500000</v>
      </c>
      <c r="H12" s="49"/>
    </row>
    <row r="13" spans="1:8" ht="14.25">
      <c r="A13" s="107" t="s">
        <v>624</v>
      </c>
      <c r="B13" s="114"/>
      <c r="C13" s="6"/>
      <c r="D13" s="6"/>
      <c r="E13" s="6"/>
      <c r="F13" s="6">
        <f>+Deudores!E13</f>
        <v>-245318416.87728727</v>
      </c>
      <c r="H13" s="49"/>
    </row>
    <row r="14" spans="1:6" ht="14.25">
      <c r="A14" s="107" t="s">
        <v>133</v>
      </c>
      <c r="B14" s="114"/>
      <c r="C14" s="6">
        <f>+'Bal prueba 010115'!D106</f>
        <v>67560000</v>
      </c>
      <c r="D14" s="6"/>
      <c r="E14" s="6"/>
      <c r="F14" s="6">
        <f aca="true" t="shared" si="0" ref="F14:F26">+B14+C14+D14+E14</f>
        <v>67560000</v>
      </c>
    </row>
    <row r="15" spans="1:6" ht="14.25">
      <c r="A15" s="107" t="s">
        <v>15</v>
      </c>
      <c r="B15" s="114">
        <f>+Inventarios!C10</f>
        <v>1308237828</v>
      </c>
      <c r="C15" s="6">
        <f>-'Bal prueba 010115'!E123</f>
        <v>-179700000</v>
      </c>
      <c r="D15" s="6"/>
      <c r="E15" s="6"/>
      <c r="F15" s="6">
        <f>+B15+C15+D15+E15</f>
        <v>1128537828</v>
      </c>
    </row>
    <row r="16" spans="1:6" ht="14.25">
      <c r="A16" s="107" t="s">
        <v>636</v>
      </c>
      <c r="B16" s="114"/>
      <c r="C16" s="6"/>
      <c r="D16" s="6"/>
      <c r="E16" s="6">
        <f>+-'Bal prueba 010115'!E118</f>
        <v>-25000000</v>
      </c>
      <c r="F16" s="6">
        <f>+Inventarios!E9</f>
        <v>-25000000</v>
      </c>
    </row>
    <row r="17" spans="1:8" ht="29.25">
      <c r="A17" s="107" t="s">
        <v>625</v>
      </c>
      <c r="B17" s="114"/>
      <c r="C17" s="6"/>
      <c r="D17" s="6"/>
      <c r="E17" s="6"/>
      <c r="F17" s="6">
        <f>+Inversiones!E7</f>
        <v>105000000</v>
      </c>
      <c r="H17" s="25"/>
    </row>
    <row r="18" spans="1:8" ht="15">
      <c r="A18" s="107" t="s">
        <v>626</v>
      </c>
      <c r="B18" s="114"/>
      <c r="C18" s="6"/>
      <c r="D18" s="6"/>
      <c r="E18" s="6"/>
      <c r="F18" s="6">
        <f>+Inversiones!E8</f>
        <v>3116000000</v>
      </c>
      <c r="H18" s="25"/>
    </row>
    <row r="19" spans="1:8" ht="29.25">
      <c r="A19" s="107" t="s">
        <v>627</v>
      </c>
      <c r="B19" s="114"/>
      <c r="C19" s="6"/>
      <c r="D19" s="6"/>
      <c r="E19" s="6"/>
      <c r="F19" s="6">
        <f>+Inversiones!E9</f>
        <v>456000000</v>
      </c>
      <c r="H19" s="25"/>
    </row>
    <row r="20" spans="1:8" ht="29.25">
      <c r="A20" s="107" t="s">
        <v>628</v>
      </c>
      <c r="B20" s="114"/>
      <c r="C20" s="6"/>
      <c r="D20" s="6"/>
      <c r="E20" s="6"/>
      <c r="F20" s="6">
        <f>+Inversiones!E11</f>
        <v>850000000</v>
      </c>
      <c r="H20" s="25"/>
    </row>
    <row r="21" spans="1:8" ht="15">
      <c r="A21" s="107" t="s">
        <v>629</v>
      </c>
      <c r="B21" s="114"/>
      <c r="C21" s="6"/>
      <c r="D21" s="6"/>
      <c r="E21" s="6"/>
      <c r="F21" s="6">
        <f>+Inversiones!E65</f>
        <v>120698548.00191653</v>
      </c>
      <c r="H21" s="25"/>
    </row>
    <row r="22" spans="1:6" ht="14.25">
      <c r="A22" s="107" t="s">
        <v>630</v>
      </c>
      <c r="B22" s="114"/>
      <c r="C22" s="6">
        <f>+'Bal prueba 010115'!D124</f>
        <v>179700000</v>
      </c>
      <c r="D22" s="6"/>
      <c r="E22" s="6">
        <f>+'Bal prueba 010115'!D127</f>
        <v>157800000</v>
      </c>
      <c r="F22" s="6">
        <f t="shared" si="0"/>
        <v>337500000</v>
      </c>
    </row>
    <row r="23" spans="1:6" ht="14.25">
      <c r="A23" s="107" t="s">
        <v>638</v>
      </c>
      <c r="B23" s="114"/>
      <c r="C23" s="6">
        <f>+'Bal prueba 010115'!D140</f>
        <v>700000000</v>
      </c>
      <c r="D23" s="6"/>
      <c r="E23" s="6"/>
      <c r="F23" s="6">
        <f t="shared" si="0"/>
        <v>700000000</v>
      </c>
    </row>
    <row r="24" spans="1:7" ht="14.25">
      <c r="A24" s="107" t="s">
        <v>23</v>
      </c>
      <c r="B24" s="114">
        <f>+PPYE!C17-PPYE!D17+PPYE!C20</f>
        <v>3143866335.6</v>
      </c>
      <c r="C24" s="6">
        <f>+'Bal prueba 010115'!D84+'Bal prueba 010115'!D133-'Bal prueba 010115'!E139+'Bal prueba 010115'!D161</f>
        <v>4432000000</v>
      </c>
      <c r="D24" s="6"/>
      <c r="E24" s="6">
        <f>-'Bal prueba 010115'!E86+'Bal prueba 010115'!D143+'Bal prueba 010115'!D168+'Bal prueba 010115'!D175</f>
        <v>1139899615.8423214</v>
      </c>
      <c r="F24" s="6">
        <f t="shared" si="0"/>
        <v>8715765951.442322</v>
      </c>
      <c r="G24" s="32"/>
    </row>
    <row r="25" spans="1:6" ht="14.25">
      <c r="A25" s="107" t="s">
        <v>631</v>
      </c>
      <c r="B25" s="114">
        <v>0</v>
      </c>
      <c r="C25" s="6">
        <f>+'Bal prueba 010115'!D162</f>
        <v>230000000</v>
      </c>
      <c r="D25" s="6"/>
      <c r="E25" s="6">
        <v>0</v>
      </c>
      <c r="F25" s="6">
        <f t="shared" si="0"/>
        <v>230000000</v>
      </c>
    </row>
    <row r="26" spans="1:6" ht="14.25">
      <c r="A26" s="107" t="s">
        <v>89</v>
      </c>
      <c r="B26" s="114"/>
      <c r="C26" s="6"/>
      <c r="D26" s="6"/>
      <c r="E26" s="6"/>
      <c r="F26" s="6">
        <f t="shared" si="0"/>
        <v>0</v>
      </c>
    </row>
    <row r="27" spans="1:6" ht="15">
      <c r="A27" s="89" t="s">
        <v>80</v>
      </c>
      <c r="B27" s="116">
        <f>SUM(B6:B26)</f>
        <v>4700358163.6</v>
      </c>
      <c r="C27" s="79">
        <f>SUM(C6:C26)</f>
        <v>5967085000</v>
      </c>
      <c r="D27" s="79">
        <f>SUM(D6:D26)</f>
        <v>0</v>
      </c>
      <c r="E27" s="79">
        <f>SUM(E6:E26)</f>
        <v>1272699615.8423214</v>
      </c>
      <c r="F27" s="79">
        <f>SUM(F6:F26)</f>
        <v>17829801034.800976</v>
      </c>
    </row>
    <row r="28" ht="15">
      <c r="B28" s="24"/>
    </row>
    <row r="29" spans="1:6" ht="15">
      <c r="A29" s="72" t="s">
        <v>25</v>
      </c>
      <c r="B29" s="90"/>
      <c r="C29" s="91"/>
      <c r="D29" s="71"/>
      <c r="E29" s="90"/>
      <c r="F29" s="91"/>
    </row>
    <row r="30" spans="1:6" ht="14.25">
      <c r="A30" s="107" t="s">
        <v>632</v>
      </c>
      <c r="B30" s="6">
        <f>+Pasivos!C21-B31-B32</f>
        <v>561250000</v>
      </c>
      <c r="C30" s="6">
        <f>+'Bal prueba 010115'!E200</f>
        <v>48000000</v>
      </c>
      <c r="D30" s="6"/>
      <c r="E30" s="6"/>
      <c r="F30" s="6">
        <f aca="true" t="shared" si="1" ref="F30:F37">+B30+C30+D30+E30</f>
        <v>609250000</v>
      </c>
    </row>
    <row r="31" spans="1:6" ht="14.25">
      <c r="A31" s="107" t="s">
        <v>70</v>
      </c>
      <c r="B31" s="6">
        <f>+Pasivos!C22</f>
        <v>1350000000</v>
      </c>
      <c r="C31" s="6"/>
      <c r="D31" s="6"/>
      <c r="E31" s="6"/>
      <c r="F31" s="6">
        <f t="shared" si="1"/>
        <v>1350000000</v>
      </c>
    </row>
    <row r="32" spans="1:6" ht="14.25">
      <c r="A32" s="107" t="s">
        <v>633</v>
      </c>
      <c r="B32" s="6">
        <f>+Pasivos!C29+Pasivos!C28</f>
        <v>279625000</v>
      </c>
      <c r="C32" s="6">
        <f>-'Bal prueba 010115'!D187</f>
        <v>-254000000</v>
      </c>
      <c r="D32" s="6"/>
      <c r="E32" s="6"/>
      <c r="F32" s="6">
        <f t="shared" si="1"/>
        <v>25625000</v>
      </c>
    </row>
    <row r="33" spans="1:6" ht="14.25">
      <c r="A33" s="107" t="s">
        <v>27</v>
      </c>
      <c r="B33" s="6">
        <f>+Pasivos!C36</f>
        <v>40248900</v>
      </c>
      <c r="C33" s="6"/>
      <c r="D33" s="6"/>
      <c r="E33" s="6">
        <f>+'Bal prueba 010115'!E193</f>
        <v>5316830</v>
      </c>
      <c r="F33" s="6">
        <f t="shared" si="1"/>
        <v>45565730</v>
      </c>
    </row>
    <row r="34" spans="1:6" ht="14.25">
      <c r="A34" s="107" t="s">
        <v>634</v>
      </c>
      <c r="B34" s="6">
        <f>+Pasivos!C10</f>
        <v>1460467839.369828</v>
      </c>
      <c r="C34" s="6"/>
      <c r="D34" s="6"/>
      <c r="E34" s="6">
        <f>+'Bal prueba 010115'!E169+'Bal prueba 010115'!E176-'Bal prueba 010115'!D182</f>
        <v>819321651.9357016</v>
      </c>
      <c r="F34" s="6">
        <f t="shared" si="1"/>
        <v>2279789491.3055296</v>
      </c>
    </row>
    <row r="35" spans="1:6" ht="14.25">
      <c r="A35" s="107" t="s">
        <v>130</v>
      </c>
      <c r="B35" s="6"/>
      <c r="C35" s="6">
        <f>+'Bal prueba 010115'!E188</f>
        <v>254000000</v>
      </c>
      <c r="D35" s="6"/>
      <c r="E35" s="6"/>
      <c r="F35" s="6">
        <f t="shared" si="1"/>
        <v>254000000</v>
      </c>
    </row>
    <row r="36" spans="1:6" ht="14.25">
      <c r="A36" s="107" t="s">
        <v>90</v>
      </c>
      <c r="B36" s="6"/>
      <c r="C36" s="6"/>
      <c r="D36" s="6"/>
      <c r="E36" s="6">
        <f>+'Bal prueba 010115'!E230</f>
        <v>611620977.999682</v>
      </c>
      <c r="F36" s="6">
        <f t="shared" si="1"/>
        <v>611620977.999682</v>
      </c>
    </row>
    <row r="37" spans="1:6" ht="14.25">
      <c r="A37" s="107" t="s">
        <v>635</v>
      </c>
      <c r="B37" s="6">
        <f>+Pasivos!C52</f>
        <v>503000000</v>
      </c>
      <c r="C37" s="6">
        <f>-'Bal prueba 010115'!D199</f>
        <v>-48000000</v>
      </c>
      <c r="D37" s="7"/>
      <c r="E37" s="6">
        <f>-'Bal prueba 010115'!D205-'Bal prueba 010115'!D211+'Bal prueba 010115'!E217</f>
        <v>-123568543.48882416</v>
      </c>
      <c r="F37" s="6">
        <f t="shared" si="1"/>
        <v>331431456.5111759</v>
      </c>
    </row>
    <row r="38" spans="1:6" ht="15">
      <c r="A38" s="72" t="s">
        <v>81</v>
      </c>
      <c r="B38" s="115">
        <f>SUM(B30:B37)</f>
        <v>4194591739.369828</v>
      </c>
      <c r="C38" s="79">
        <f>SUM(C30:C37)</f>
        <v>0</v>
      </c>
      <c r="D38" s="79">
        <f>SUM(D30:D37)</f>
        <v>0</v>
      </c>
      <c r="E38" s="79">
        <f>SUM(E30:E37)</f>
        <v>1312690916.4465594</v>
      </c>
      <c r="F38" s="79">
        <f>SUM(F30:F37)</f>
        <v>5507282655.816388</v>
      </c>
    </row>
    <row r="39" spans="2:6" ht="15">
      <c r="B39" s="27"/>
      <c r="C39" s="27"/>
      <c r="D39" s="27"/>
      <c r="E39" s="27"/>
      <c r="F39" s="27"/>
    </row>
    <row r="40" spans="1:7" ht="15">
      <c r="A40" s="72" t="s">
        <v>28</v>
      </c>
      <c r="B40" s="79">
        <f>SUM(B41:B46)</f>
        <v>6609216465.23</v>
      </c>
      <c r="C40" s="79">
        <f>SUM(C41:C46)</f>
        <v>6989000000</v>
      </c>
      <c r="D40" s="79">
        <f>SUM(D41:D46)</f>
        <v>0</v>
      </c>
      <c r="E40" s="79">
        <f>SUM(E41:E46)</f>
        <v>-1275698086.2475007</v>
      </c>
      <c r="F40" s="79">
        <f>SUM(F41:F46)</f>
        <v>12322518378.982498</v>
      </c>
      <c r="G40" s="174"/>
    </row>
    <row r="41" spans="1:7" ht="14.25">
      <c r="A41" s="107" t="s">
        <v>51</v>
      </c>
      <c r="B41" s="6">
        <v>3863708769</v>
      </c>
      <c r="C41" s="6"/>
      <c r="D41" s="6"/>
      <c r="E41" s="6"/>
      <c r="F41" s="6">
        <f>+B41+C41+D41+E41</f>
        <v>3863708769</v>
      </c>
      <c r="G41" s="16" t="s">
        <v>0</v>
      </c>
    </row>
    <row r="42" spans="1:7" ht="14.25">
      <c r="A42" s="107" t="s">
        <v>18</v>
      </c>
      <c r="B42" s="6">
        <v>314726772</v>
      </c>
      <c r="C42" s="6">
        <f>-'Bal prueba 010115'!D223</f>
        <v>-314726772</v>
      </c>
      <c r="D42" s="6"/>
      <c r="E42" s="6"/>
      <c r="F42" s="6">
        <f>+B42+C42+D42+E42</f>
        <v>0</v>
      </c>
      <c r="G42" s="16" t="s">
        <v>0</v>
      </c>
    </row>
    <row r="43" spans="1:7" ht="14.25">
      <c r="A43" s="107" t="s">
        <v>20</v>
      </c>
      <c r="B43" s="6">
        <v>526640957</v>
      </c>
      <c r="C43" s="6"/>
      <c r="D43" s="6"/>
      <c r="E43" s="6"/>
      <c r="F43" s="6">
        <f>+B43+C43+D43+E43</f>
        <v>526640957</v>
      </c>
      <c r="G43" s="16" t="s">
        <v>0</v>
      </c>
    </row>
    <row r="44" spans="1:6" ht="28.5">
      <c r="A44" s="107" t="s">
        <v>21</v>
      </c>
      <c r="B44" s="6">
        <v>1551539967.23</v>
      </c>
      <c r="C44" s="6">
        <f>+'Bal prueba 010115'!E63+'Bal prueba 010115'!E136+'Bal prueba 010115'!E225</f>
        <v>7656326772</v>
      </c>
      <c r="D44" s="6"/>
      <c r="E44" s="6">
        <f>+-'Bal prueba 010115'!D68-'Bal prueba 010115'!D87-'Bal prueba 010115'!D101-'Bal prueba 010115'!D110+'Bal prueba 010115'!E115-'Bal prueba 010115'!D119+'Bal prueba 010115'!E128+'Bal prueba 010115'!E144-'Bal prueba 010115'!D155-'Bal prueba 010115'!D170+'Bal prueba 010115'!E177+'Bal prueba 010115'!E183-'Bal prueba 010115'!D194+'Bal prueba 010115'!E206+'Bal prueba 010115'!E212-'Bal prueba 010115'!D218-'Bal prueba 010115'!D231</f>
        <v>-1275698086.2475007</v>
      </c>
      <c r="F44" s="6">
        <f>+B44+C44+D44+E44</f>
        <v>7932168652.982499</v>
      </c>
    </row>
    <row r="45" spans="1:6" ht="14.25">
      <c r="A45" s="107" t="s">
        <v>79</v>
      </c>
      <c r="B45" s="6">
        <v>352600000</v>
      </c>
      <c r="C45" s="6">
        <f>-'Bal prueba 010115'!D224</f>
        <v>-352600000</v>
      </c>
      <c r="D45" s="6"/>
      <c r="E45" s="6"/>
      <c r="F45" s="6">
        <f>+B45+C45+D45+E45</f>
        <v>0</v>
      </c>
    </row>
    <row r="46" spans="2:3" ht="15">
      <c r="B46" s="24"/>
      <c r="C46" s="40"/>
    </row>
    <row r="47" spans="1:6" ht="15">
      <c r="A47" s="72" t="s">
        <v>82</v>
      </c>
      <c r="B47" s="79">
        <f>+B38+B40</f>
        <v>10803808204.599827</v>
      </c>
      <c r="C47" s="79">
        <f>+C38+C40</f>
        <v>6989000000</v>
      </c>
      <c r="D47" s="79">
        <f>+D38+D40</f>
        <v>0</v>
      </c>
      <c r="E47" s="79">
        <f>+E38+E40</f>
        <v>36992830.19905877</v>
      </c>
      <c r="F47" s="79">
        <f>+F38+F40</f>
        <v>17829801034.798885</v>
      </c>
    </row>
    <row r="49" spans="2:6" ht="14.25">
      <c r="B49" s="112">
        <f>+B47-B27</f>
        <v>6103450040.999826</v>
      </c>
      <c r="C49" s="26">
        <f>+C47-C27</f>
        <v>1021915000</v>
      </c>
      <c r="D49" s="26">
        <f>+D47-D27</f>
        <v>0</v>
      </c>
      <c r="E49" s="26">
        <f>+E47-E27</f>
        <v>-1235706785.6432626</v>
      </c>
      <c r="F49" s="112">
        <f>+F47-F27</f>
        <v>-0.0020904541015625</v>
      </c>
    </row>
    <row r="52" spans="2:6" s="121" customFormat="1" ht="15">
      <c r="B52" s="162"/>
      <c r="E52" s="118"/>
      <c r="F52" s="179"/>
    </row>
    <row r="55" spans="1:6" ht="14.25">
      <c r="A55" s="108" t="s">
        <v>242</v>
      </c>
      <c r="B55" s="109"/>
      <c r="C55" s="109"/>
      <c r="D55" s="109"/>
      <c r="E55" s="109"/>
      <c r="F55" s="44"/>
    </row>
    <row r="56" spans="1:6" ht="14.25">
      <c r="A56" s="65"/>
      <c r="B56" s="44"/>
      <c r="C56" s="44"/>
      <c r="D56" s="44"/>
      <c r="E56" s="44"/>
      <c r="F56" s="44"/>
    </row>
    <row r="57" spans="1:6" ht="14.25">
      <c r="A57" s="65"/>
      <c r="B57" s="44"/>
      <c r="C57" s="44"/>
      <c r="D57" s="44"/>
      <c r="E57" s="44"/>
      <c r="F57" s="44"/>
    </row>
    <row r="58" spans="1:6" ht="14.25">
      <c r="A58" s="108" t="s">
        <v>480</v>
      </c>
      <c r="B58" s="109"/>
      <c r="C58" s="109"/>
      <c r="D58" s="109"/>
      <c r="E58" s="109"/>
      <c r="F58" s="44"/>
    </row>
    <row r="59" spans="1:6" ht="14.25">
      <c r="A59" s="44" t="s">
        <v>385</v>
      </c>
      <c r="B59" s="44"/>
      <c r="C59" s="44"/>
      <c r="D59" s="44"/>
      <c r="E59" s="44">
        <f>+Inversiones!D13</f>
        <v>3017000000</v>
      </c>
      <c r="F59" s="44"/>
    </row>
    <row r="60" spans="1:6" ht="14.25">
      <c r="A60" s="44" t="s">
        <v>386</v>
      </c>
      <c r="B60" s="44"/>
      <c r="C60" s="44"/>
      <c r="D60" s="44">
        <f>+E59</f>
        <v>3017000000</v>
      </c>
      <c r="E60" s="44"/>
      <c r="F60" s="44"/>
    </row>
    <row r="61" spans="1:6" ht="14.25">
      <c r="A61" s="44"/>
      <c r="B61" s="44"/>
      <c r="C61" s="44"/>
      <c r="D61" s="44"/>
      <c r="E61" s="44"/>
      <c r="F61" s="44"/>
    </row>
    <row r="62" spans="1:6" ht="14.25">
      <c r="A62" s="44" t="s">
        <v>481</v>
      </c>
      <c r="B62" s="44"/>
      <c r="C62" s="44"/>
      <c r="D62" s="44">
        <f>+D60</f>
        <v>3017000000</v>
      </c>
      <c r="E62" s="44"/>
      <c r="F62" s="44"/>
    </row>
    <row r="63" spans="1:6" ht="14.25">
      <c r="A63" s="44" t="s">
        <v>239</v>
      </c>
      <c r="B63" s="44"/>
      <c r="C63" s="44"/>
      <c r="D63" s="44"/>
      <c r="E63" s="44">
        <f>+D62</f>
        <v>3017000000</v>
      </c>
      <c r="F63" s="44"/>
    </row>
    <row r="64" spans="1:6" ht="14.25">
      <c r="A64" s="44"/>
      <c r="B64" s="44"/>
      <c r="C64" s="44"/>
      <c r="D64" s="44"/>
      <c r="E64" s="44"/>
      <c r="F64" s="44"/>
    </row>
    <row r="65" spans="1:6" ht="14.25">
      <c r="A65" s="44"/>
      <c r="B65" s="44"/>
      <c r="C65" s="44"/>
      <c r="D65" s="44"/>
      <c r="E65" s="44"/>
      <c r="F65" s="44"/>
    </row>
    <row r="66" spans="1:6" ht="14.25">
      <c r="A66" s="108" t="s">
        <v>387</v>
      </c>
      <c r="B66" s="109"/>
      <c r="C66" s="109"/>
      <c r="D66" s="109"/>
      <c r="E66" s="109"/>
      <c r="F66" s="44"/>
    </row>
    <row r="67" spans="1:6" ht="14.25">
      <c r="A67" s="44" t="s">
        <v>388</v>
      </c>
      <c r="B67" s="44"/>
      <c r="C67" s="44"/>
      <c r="D67" s="44"/>
      <c r="E67" s="44">
        <f>+Inversiones!D9</f>
        <v>894000000</v>
      </c>
      <c r="F67" s="44"/>
    </row>
    <row r="68" spans="1:6" ht="14.25">
      <c r="A68" s="44" t="s">
        <v>239</v>
      </c>
      <c r="B68" s="44"/>
      <c r="C68" s="44"/>
      <c r="D68" s="44">
        <f>+E67</f>
        <v>894000000</v>
      </c>
      <c r="E68" s="44"/>
      <c r="F68" s="44"/>
    </row>
    <row r="69" spans="1:6" ht="14.25">
      <c r="A69" s="44"/>
      <c r="B69" s="44"/>
      <c r="C69" s="44"/>
      <c r="D69" s="44"/>
      <c r="E69" s="44"/>
      <c r="F69" s="44"/>
    </row>
    <row r="70" spans="1:6" ht="14.25">
      <c r="A70" s="44"/>
      <c r="B70" s="44"/>
      <c r="C70" s="44"/>
      <c r="D70" s="44"/>
      <c r="E70" s="44"/>
      <c r="F70" s="44"/>
    </row>
    <row r="71" spans="1:6" ht="14.25">
      <c r="A71" s="108" t="s">
        <v>389</v>
      </c>
      <c r="B71" s="109"/>
      <c r="C71" s="109"/>
      <c r="D71" s="109"/>
      <c r="E71" s="109"/>
      <c r="F71" s="44"/>
    </row>
    <row r="72" spans="1:6" ht="14.25">
      <c r="A72" s="44" t="s">
        <v>22</v>
      </c>
      <c r="B72" s="44"/>
      <c r="C72" s="44"/>
      <c r="D72" s="44"/>
      <c r="E72" s="44">
        <f>+Inversiones!E13</f>
        <v>4527000000</v>
      </c>
      <c r="F72" s="44"/>
    </row>
    <row r="73" spans="1:6" ht="14.25">
      <c r="A73" s="44" t="s">
        <v>240</v>
      </c>
      <c r="B73" s="44"/>
      <c r="C73" s="44"/>
      <c r="D73" s="44">
        <f>+Inversiones!E10</f>
        <v>3677000000</v>
      </c>
      <c r="E73" s="44"/>
      <c r="F73" s="44"/>
    </row>
    <row r="74" spans="1:6" ht="14.25">
      <c r="A74" s="44" t="s">
        <v>390</v>
      </c>
      <c r="B74" s="44"/>
      <c r="C74" s="44"/>
      <c r="D74" s="44">
        <f>+Inversiones!E11</f>
        <v>850000000</v>
      </c>
      <c r="E74" s="44"/>
      <c r="F74" s="44"/>
    </row>
    <row r="75" spans="1:6" ht="14.25">
      <c r="A75" s="44"/>
      <c r="B75" s="44"/>
      <c r="C75" s="44"/>
      <c r="D75" s="44"/>
      <c r="E75" s="44"/>
      <c r="F75" s="44"/>
    </row>
    <row r="76" spans="1:6" ht="14.25">
      <c r="A76" s="44"/>
      <c r="B76" s="44"/>
      <c r="C76" s="44"/>
      <c r="D76" s="44"/>
      <c r="E76" s="44"/>
      <c r="F76" s="44"/>
    </row>
    <row r="77" spans="1:6" ht="14.25">
      <c r="A77" s="108" t="s">
        <v>391</v>
      </c>
      <c r="B77" s="109"/>
      <c r="C77" s="109"/>
      <c r="D77" s="109"/>
      <c r="E77" s="109"/>
      <c r="F77" s="44"/>
    </row>
    <row r="78" spans="1:6" ht="14.25">
      <c r="A78" s="44" t="s">
        <v>386</v>
      </c>
      <c r="B78" s="44"/>
      <c r="C78" s="44"/>
      <c r="D78" s="44"/>
      <c r="E78" s="44">
        <f>+Efectivo!E8+Efectivo!E9</f>
        <v>537525000</v>
      </c>
      <c r="F78" s="44"/>
    </row>
    <row r="79" spans="1:6" ht="14.25">
      <c r="A79" s="44" t="s">
        <v>392</v>
      </c>
      <c r="B79" s="44"/>
      <c r="C79" s="44"/>
      <c r="D79" s="44">
        <f>+E78</f>
        <v>537525000</v>
      </c>
      <c r="E79" s="44"/>
      <c r="F79" s="44"/>
    </row>
    <row r="80" spans="1:6" ht="14.25">
      <c r="A80" s="44"/>
      <c r="B80" s="44"/>
      <c r="C80" s="44"/>
      <c r="D80" s="44"/>
      <c r="E80" s="44"/>
      <c r="F80" s="44"/>
    </row>
    <row r="81" spans="1:6" ht="14.25">
      <c r="A81" s="44"/>
      <c r="B81" s="44"/>
      <c r="C81" s="44"/>
      <c r="D81" s="44"/>
      <c r="E81" s="44"/>
      <c r="F81" s="44"/>
    </row>
    <row r="82" spans="1:6" ht="14.25">
      <c r="A82" s="108" t="s">
        <v>397</v>
      </c>
      <c r="B82" s="109"/>
      <c r="C82" s="109"/>
      <c r="D82" s="109"/>
      <c r="E82" s="109"/>
      <c r="F82" s="44"/>
    </row>
    <row r="83" spans="1:6" ht="14.25">
      <c r="A83" s="44" t="s">
        <v>395</v>
      </c>
      <c r="B83" s="44"/>
      <c r="C83" s="44"/>
      <c r="D83" s="44"/>
      <c r="E83" s="44">
        <f>+Inversiones!C40</f>
        <v>650000000</v>
      </c>
      <c r="F83" s="44"/>
    </row>
    <row r="84" spans="1:6" ht="14.25">
      <c r="A84" s="44" t="s">
        <v>396</v>
      </c>
      <c r="B84" s="44"/>
      <c r="C84" s="44"/>
      <c r="D84" s="44">
        <f>+E83</f>
        <v>650000000</v>
      </c>
      <c r="E84" s="44"/>
      <c r="F84" s="44"/>
    </row>
    <row r="85" spans="1:6" ht="14.25">
      <c r="A85" s="44"/>
      <c r="B85" s="44"/>
      <c r="C85" s="44"/>
      <c r="D85" s="44"/>
      <c r="E85" s="44"/>
      <c r="F85" s="44"/>
    </row>
    <row r="86" spans="1:6" ht="14.25">
      <c r="A86" s="44" t="s">
        <v>396</v>
      </c>
      <c r="B86" s="44"/>
      <c r="C86" s="44"/>
      <c r="D86" s="44"/>
      <c r="E86" s="44">
        <f>+Inversiones!C56</f>
        <v>139791666.66666666</v>
      </c>
      <c r="F86" s="44"/>
    </row>
    <row r="87" spans="1:6" ht="14.25">
      <c r="A87" s="44" t="s">
        <v>239</v>
      </c>
      <c r="B87" s="44"/>
      <c r="C87" s="44"/>
      <c r="D87" s="44">
        <f>+E86</f>
        <v>139791666.66666666</v>
      </c>
      <c r="E87" s="44"/>
      <c r="F87" s="44"/>
    </row>
    <row r="88" spans="1:6" ht="14.25">
      <c r="A88" s="44"/>
      <c r="B88" s="44"/>
      <c r="C88" s="44"/>
      <c r="D88" s="44"/>
      <c r="E88" s="44"/>
      <c r="F88" s="44"/>
    </row>
    <row r="89" spans="1:6" ht="14.25">
      <c r="A89" s="108" t="s">
        <v>398</v>
      </c>
      <c r="B89" s="109"/>
      <c r="C89" s="109"/>
      <c r="D89" s="109"/>
      <c r="E89" s="109"/>
      <c r="F89" s="44"/>
    </row>
    <row r="90" spans="1:6" ht="14.25">
      <c r="A90" s="44" t="s">
        <v>22</v>
      </c>
      <c r="B90" s="44"/>
      <c r="C90" s="44"/>
      <c r="D90" s="44">
        <f>+Inversiones!D65</f>
        <v>698548.0019165267</v>
      </c>
      <c r="E90" s="44"/>
      <c r="F90" s="44"/>
    </row>
    <row r="91" spans="1:6" ht="14.25">
      <c r="A91" s="44" t="s">
        <v>399</v>
      </c>
      <c r="B91" s="44"/>
      <c r="C91" s="44"/>
      <c r="D91" s="44"/>
      <c r="E91" s="44">
        <f>+D90</f>
        <v>698548.0019165267</v>
      </c>
      <c r="F91" s="44"/>
    </row>
    <row r="92" spans="1:6" ht="14.25">
      <c r="A92" s="44"/>
      <c r="B92" s="44"/>
      <c r="C92" s="44"/>
      <c r="D92" s="44"/>
      <c r="E92" s="44"/>
      <c r="F92" s="44"/>
    </row>
    <row r="93" spans="1:6" ht="14.25">
      <c r="A93" s="44"/>
      <c r="B93" s="44"/>
      <c r="C93" s="44"/>
      <c r="D93" s="44"/>
      <c r="E93" s="44"/>
      <c r="F93" s="44"/>
    </row>
    <row r="94" spans="1:6" ht="14.25">
      <c r="A94" s="108" t="s">
        <v>400</v>
      </c>
      <c r="B94" s="109"/>
      <c r="C94" s="109"/>
      <c r="D94" s="109"/>
      <c r="E94" s="109"/>
      <c r="F94" s="44"/>
    </row>
    <row r="95" spans="1:6" ht="14.25">
      <c r="A95" s="44" t="s">
        <v>22</v>
      </c>
      <c r="B95" s="44"/>
      <c r="C95" s="44"/>
      <c r="D95" s="44"/>
      <c r="E95" s="44">
        <f>+Inversiones!E65</f>
        <v>120698548.00191653</v>
      </c>
      <c r="F95" s="44"/>
    </row>
    <row r="96" spans="1:6" ht="14.25">
      <c r="A96" s="44" t="s">
        <v>240</v>
      </c>
      <c r="B96" s="44"/>
      <c r="C96" s="44"/>
      <c r="D96" s="44">
        <f>+E95</f>
        <v>120698548.00191653</v>
      </c>
      <c r="E96" s="44"/>
      <c r="F96" s="44"/>
    </row>
    <row r="97" spans="1:6" ht="14.25">
      <c r="A97" s="44"/>
      <c r="B97" s="44"/>
      <c r="C97" s="44"/>
      <c r="D97" s="44"/>
      <c r="E97" s="44"/>
      <c r="F97" s="44"/>
    </row>
    <row r="98" spans="1:6" ht="14.25">
      <c r="A98" s="44"/>
      <c r="B98" s="44"/>
      <c r="C98" s="44"/>
      <c r="D98" s="44"/>
      <c r="E98" s="44"/>
      <c r="F98" s="44"/>
    </row>
    <row r="99" spans="1:6" ht="14.25">
      <c r="A99" s="108" t="s">
        <v>482</v>
      </c>
      <c r="B99" s="109"/>
      <c r="C99" s="109"/>
      <c r="D99" s="109"/>
      <c r="E99" s="109"/>
      <c r="F99" s="44"/>
    </row>
    <row r="100" spans="1:6" ht="14.25">
      <c r="A100" s="164" t="s">
        <v>402</v>
      </c>
      <c r="B100" s="44"/>
      <c r="C100" s="44"/>
      <c r="D100" s="44"/>
      <c r="E100" s="44">
        <f>-Deudores!D7</f>
        <v>64575229.281193465</v>
      </c>
      <c r="F100" s="44"/>
    </row>
    <row r="101" spans="1:6" ht="14.25">
      <c r="A101" s="164" t="s">
        <v>239</v>
      </c>
      <c r="B101" s="44"/>
      <c r="C101" s="44"/>
      <c r="D101" s="44">
        <f>+E100</f>
        <v>64575229.281193465</v>
      </c>
      <c r="E101" s="44"/>
      <c r="F101" s="44"/>
    </row>
    <row r="102" spans="1:6" ht="14.25">
      <c r="A102" s="44"/>
      <c r="B102" s="44"/>
      <c r="C102" s="44"/>
      <c r="D102" s="44"/>
      <c r="E102" s="44"/>
      <c r="F102" s="44"/>
    </row>
    <row r="103" spans="1:6" ht="14.25">
      <c r="A103" s="44"/>
      <c r="B103" s="44"/>
      <c r="C103" s="44"/>
      <c r="D103" s="44"/>
      <c r="E103" s="44"/>
      <c r="F103" s="44"/>
    </row>
    <row r="104" spans="1:6" ht="14.25">
      <c r="A104" s="108" t="s">
        <v>403</v>
      </c>
      <c r="B104" s="109"/>
      <c r="C104" s="109"/>
      <c r="D104" s="109"/>
      <c r="E104" s="109"/>
      <c r="F104" s="44"/>
    </row>
    <row r="105" spans="1:6" ht="14.25">
      <c r="A105" s="164" t="s">
        <v>404</v>
      </c>
      <c r="B105" s="44"/>
      <c r="C105" s="44"/>
      <c r="D105" s="44"/>
      <c r="E105" s="44">
        <f>+Deudores!C97</f>
        <v>67560000</v>
      </c>
      <c r="F105" s="44"/>
    </row>
    <row r="106" spans="1:6" ht="14.25">
      <c r="A106" s="164" t="s">
        <v>86</v>
      </c>
      <c r="B106" s="44"/>
      <c r="C106" s="44"/>
      <c r="D106" s="44">
        <f>+E105</f>
        <v>67560000</v>
      </c>
      <c r="E106" s="44"/>
      <c r="F106" s="44"/>
    </row>
    <row r="107" spans="1:6" ht="14.25">
      <c r="A107" s="44"/>
      <c r="B107" s="44"/>
      <c r="C107" s="44"/>
      <c r="D107" s="44"/>
      <c r="E107" s="44"/>
      <c r="F107" s="44"/>
    </row>
    <row r="108" spans="1:6" ht="14.25">
      <c r="A108" s="108" t="s">
        <v>416</v>
      </c>
      <c r="B108" s="109"/>
      <c r="C108" s="109"/>
      <c r="D108" s="109"/>
      <c r="E108" s="109"/>
      <c r="F108" s="44"/>
    </row>
    <row r="109" spans="1:6" ht="14.25">
      <c r="A109" s="164" t="s">
        <v>417</v>
      </c>
      <c r="B109" s="44"/>
      <c r="C109" s="44"/>
      <c r="D109" s="44"/>
      <c r="E109" s="44">
        <f>-Deudores!D10</f>
        <v>5390187.484782144</v>
      </c>
      <c r="F109" s="44"/>
    </row>
    <row r="110" spans="1:6" ht="14.25">
      <c r="A110" s="164" t="s">
        <v>239</v>
      </c>
      <c r="B110" s="44"/>
      <c r="C110" s="44"/>
      <c r="D110" s="44">
        <f>+E109</f>
        <v>5390187.484782144</v>
      </c>
      <c r="E110" s="44"/>
      <c r="F110" s="44"/>
    </row>
    <row r="111" spans="1:6" ht="14.25">
      <c r="A111" s="44"/>
      <c r="B111" s="44"/>
      <c r="C111" s="44"/>
      <c r="D111" s="44"/>
      <c r="E111" s="44"/>
      <c r="F111" s="44"/>
    </row>
    <row r="112" spans="1:6" ht="14.25">
      <c r="A112" s="44"/>
      <c r="B112" s="44"/>
      <c r="C112" s="44"/>
      <c r="D112" s="44"/>
      <c r="E112" s="44"/>
      <c r="F112" s="44"/>
    </row>
    <row r="113" spans="1:6" ht="14.25">
      <c r="A113" s="108" t="s">
        <v>483</v>
      </c>
      <c r="B113" s="109"/>
      <c r="C113" s="109"/>
      <c r="D113" s="109"/>
      <c r="E113" s="109"/>
      <c r="F113" s="44"/>
    </row>
    <row r="114" spans="1:6" ht="14.25">
      <c r="A114" s="164" t="s">
        <v>418</v>
      </c>
      <c r="B114" s="44"/>
      <c r="C114" s="44"/>
      <c r="D114" s="44">
        <f>Deudores!D13</f>
        <v>34508631.12271273</v>
      </c>
      <c r="E114" s="44"/>
      <c r="F114" s="44"/>
    </row>
    <row r="115" spans="1:6" ht="14.25">
      <c r="A115" s="164" t="s">
        <v>239</v>
      </c>
      <c r="B115" s="44"/>
      <c r="C115" s="44"/>
      <c r="D115" s="44"/>
      <c r="E115" s="44">
        <f>+D114</f>
        <v>34508631.12271273</v>
      </c>
      <c r="F115" s="44"/>
    </row>
    <row r="116" spans="1:6" ht="14.25">
      <c r="A116" s="44"/>
      <c r="B116" s="44"/>
      <c r="C116" s="44"/>
      <c r="D116" s="44"/>
      <c r="E116" s="44"/>
      <c r="F116" s="44"/>
    </row>
    <row r="117" spans="1:6" ht="14.25">
      <c r="A117" s="108" t="s">
        <v>558</v>
      </c>
      <c r="B117" s="109"/>
      <c r="C117" s="109"/>
      <c r="D117" s="109"/>
      <c r="E117" s="109"/>
      <c r="F117" s="44"/>
    </row>
    <row r="118" spans="1:6" ht="14.25">
      <c r="A118" s="164" t="s">
        <v>419</v>
      </c>
      <c r="B118" s="44"/>
      <c r="C118" s="44"/>
      <c r="D118" s="44"/>
      <c r="E118" s="44">
        <f>-Inventarios!D9</f>
        <v>25000000</v>
      </c>
      <c r="F118" s="44"/>
    </row>
    <row r="119" spans="1:6" ht="14.25">
      <c r="A119" s="164" t="s">
        <v>239</v>
      </c>
      <c r="B119" s="44"/>
      <c r="C119" s="44"/>
      <c r="D119" s="44">
        <f>+E118</f>
        <v>25000000</v>
      </c>
      <c r="E119" s="44"/>
      <c r="F119" s="44"/>
    </row>
    <row r="120" spans="1:6" ht="14.25">
      <c r="A120" s="44"/>
      <c r="B120" s="44"/>
      <c r="C120" s="44"/>
      <c r="D120" s="44"/>
      <c r="E120" s="44"/>
      <c r="F120" s="44"/>
    </row>
    <row r="121" spans="1:6" ht="14.25">
      <c r="A121" s="44"/>
      <c r="B121" s="44"/>
      <c r="C121" s="44"/>
      <c r="D121" s="44"/>
      <c r="E121" s="44"/>
      <c r="F121" s="44"/>
    </row>
    <row r="122" spans="1:6" ht="14.25">
      <c r="A122" s="108" t="s">
        <v>559</v>
      </c>
      <c r="B122" s="109"/>
      <c r="C122" s="109"/>
      <c r="D122" s="109"/>
      <c r="E122" s="109"/>
      <c r="F122" s="44"/>
    </row>
    <row r="123" spans="1:6" ht="14.25">
      <c r="A123" s="164" t="s">
        <v>424</v>
      </c>
      <c r="B123" s="44"/>
      <c r="C123" s="44"/>
      <c r="D123" s="44"/>
      <c r="E123" s="44">
        <f>+Inventarios!C8</f>
        <v>179700000</v>
      </c>
      <c r="F123" s="44"/>
    </row>
    <row r="124" spans="1:6" ht="14.25">
      <c r="A124" s="164" t="s">
        <v>425</v>
      </c>
      <c r="B124" s="44"/>
      <c r="C124" s="44"/>
      <c r="D124" s="44">
        <f>+E123</f>
        <v>179700000</v>
      </c>
      <c r="E124" s="44"/>
      <c r="F124" s="44"/>
    </row>
    <row r="125" spans="1:6" ht="14.25">
      <c r="A125" s="44"/>
      <c r="B125" s="44"/>
      <c r="C125" s="44"/>
      <c r="D125" s="44"/>
      <c r="E125" s="44"/>
      <c r="F125" s="44"/>
    </row>
    <row r="126" spans="1:6" ht="14.25">
      <c r="A126" s="108" t="s">
        <v>560</v>
      </c>
      <c r="B126" s="109"/>
      <c r="C126" s="109"/>
      <c r="D126" s="109"/>
      <c r="E126" s="109"/>
      <c r="F126" s="44"/>
    </row>
    <row r="127" spans="1:6" ht="14.25">
      <c r="A127" s="164" t="s">
        <v>125</v>
      </c>
      <c r="B127" s="44"/>
      <c r="C127" s="44"/>
      <c r="D127" s="44">
        <f>+Inventarios!D8</f>
        <v>157800000</v>
      </c>
      <c r="E127" s="44"/>
      <c r="F127" s="44"/>
    </row>
    <row r="128" spans="1:6" ht="14.25">
      <c r="A128" s="164" t="s">
        <v>239</v>
      </c>
      <c r="B128" s="44"/>
      <c r="C128" s="44"/>
      <c r="D128" s="44"/>
      <c r="E128" s="44">
        <f>+D127</f>
        <v>157800000</v>
      </c>
      <c r="F128" s="44"/>
    </row>
    <row r="129" spans="1:6" ht="14.25">
      <c r="A129" s="44"/>
      <c r="B129" s="44"/>
      <c r="C129" s="44"/>
      <c r="D129" s="44"/>
      <c r="E129" s="44"/>
      <c r="F129" s="44"/>
    </row>
    <row r="130" spans="1:6" ht="14.25">
      <c r="A130" s="44"/>
      <c r="B130" s="44"/>
      <c r="C130" s="44"/>
      <c r="D130" s="44"/>
      <c r="E130" s="44"/>
      <c r="F130" s="44"/>
    </row>
    <row r="131" spans="1:6" ht="14.25">
      <c r="A131" s="108" t="s">
        <v>561</v>
      </c>
      <c r="B131" s="109"/>
      <c r="C131" s="109"/>
      <c r="D131" s="109"/>
      <c r="E131" s="109"/>
      <c r="F131" s="44"/>
    </row>
    <row r="132" spans="1:6" ht="14.25">
      <c r="A132" s="164" t="s">
        <v>426</v>
      </c>
      <c r="B132" s="44"/>
      <c r="C132" s="44"/>
      <c r="D132" s="44"/>
      <c r="E132" s="44">
        <f>+PPYE!E17+PPYE!E20</f>
        <v>3972000000</v>
      </c>
      <c r="F132" s="44"/>
    </row>
    <row r="133" spans="1:6" ht="14.25">
      <c r="A133" s="164" t="s">
        <v>427</v>
      </c>
      <c r="B133" s="44"/>
      <c r="C133" s="44"/>
      <c r="D133" s="44">
        <f>+E132</f>
        <v>3972000000</v>
      </c>
      <c r="E133" s="44"/>
      <c r="F133" s="44"/>
    </row>
    <row r="134" spans="1:6" ht="14.25">
      <c r="A134" s="44"/>
      <c r="B134" s="44"/>
      <c r="C134" s="44"/>
      <c r="D134" s="44"/>
      <c r="E134" s="44"/>
      <c r="F134" s="44"/>
    </row>
    <row r="135" spans="1:6" ht="14.25">
      <c r="A135" s="164" t="s">
        <v>481</v>
      </c>
      <c r="B135" s="44"/>
      <c r="C135" s="44"/>
      <c r="D135" s="44">
        <f>+D133</f>
        <v>3972000000</v>
      </c>
      <c r="E135" s="44"/>
      <c r="F135" s="44"/>
    </row>
    <row r="136" spans="1:6" ht="14.25">
      <c r="A136" s="164" t="s">
        <v>239</v>
      </c>
      <c r="B136" s="44"/>
      <c r="C136" s="44"/>
      <c r="D136" s="44"/>
      <c r="E136" s="44">
        <f>+D135</f>
        <v>3972000000</v>
      </c>
      <c r="F136" s="44"/>
    </row>
    <row r="137" spans="1:6" ht="14.25">
      <c r="A137" s="44"/>
      <c r="B137" s="44"/>
      <c r="C137" s="44"/>
      <c r="D137" s="44"/>
      <c r="E137" s="44"/>
      <c r="F137" s="44"/>
    </row>
    <row r="138" spans="1:6" ht="14.25">
      <c r="A138" s="108" t="s">
        <v>562</v>
      </c>
      <c r="B138" s="109"/>
      <c r="C138" s="109"/>
      <c r="D138" s="109"/>
      <c r="E138" s="109"/>
      <c r="F138" s="44"/>
    </row>
    <row r="139" spans="1:6" ht="14.25">
      <c r="A139" s="164" t="s">
        <v>23</v>
      </c>
      <c r="B139" s="44"/>
      <c r="C139" s="44"/>
      <c r="D139" s="44"/>
      <c r="E139" s="44">
        <f>+PPYE!F20</f>
        <v>700000000</v>
      </c>
      <c r="F139" s="44"/>
    </row>
    <row r="140" spans="1:6" ht="14.25">
      <c r="A140" s="164" t="s">
        <v>87</v>
      </c>
      <c r="B140" s="44"/>
      <c r="C140" s="44"/>
      <c r="D140" s="44">
        <f>+E139</f>
        <v>700000000</v>
      </c>
      <c r="E140" s="44"/>
      <c r="F140" s="44"/>
    </row>
    <row r="141" spans="1:6" ht="14.25">
      <c r="A141" s="44"/>
      <c r="B141" s="44"/>
      <c r="C141" s="44"/>
      <c r="D141" s="44"/>
      <c r="E141" s="44"/>
      <c r="F141" s="44"/>
    </row>
    <row r="142" spans="1:6" ht="14.25">
      <c r="A142" s="108" t="s">
        <v>563</v>
      </c>
      <c r="B142" s="109"/>
      <c r="C142" s="109"/>
      <c r="D142" s="109"/>
      <c r="E142" s="109"/>
      <c r="F142" s="44"/>
    </row>
    <row r="143" spans="1:6" ht="14.25">
      <c r="A143" s="164" t="s">
        <v>427</v>
      </c>
      <c r="B143" s="44"/>
      <c r="C143" s="44"/>
      <c r="D143" s="44">
        <f>+PPYE!G6-PPYE!F6+PPYE!G7-PPYE!F7+PPYE!G8-PPYE!F8+PPYE!G9-PPYE!F9+PPYE!G10-PPYE!F10+PPYE!G11-PPYE!F11+PPYE!G12-PPYE!F12+PPYE!G13-PPYE!F13</f>
        <v>242212349.39999998</v>
      </c>
      <c r="E143" s="44"/>
      <c r="F143" s="44"/>
    </row>
    <row r="144" spans="1:6" ht="14.25">
      <c r="A144" s="164" t="s">
        <v>239</v>
      </c>
      <c r="B144" s="44"/>
      <c r="C144" s="44"/>
      <c r="D144" s="44"/>
      <c r="E144" s="44">
        <f>+D143</f>
        <v>242212349.39999998</v>
      </c>
      <c r="F144" s="44"/>
    </row>
    <row r="145" spans="1:6" ht="14.25">
      <c r="A145" s="44"/>
      <c r="B145" s="44"/>
      <c r="C145" s="44"/>
      <c r="D145" s="44"/>
      <c r="E145" s="44"/>
      <c r="F145" s="44"/>
    </row>
    <row r="146" spans="1:6" ht="14.25">
      <c r="A146" s="44"/>
      <c r="B146" s="44"/>
      <c r="C146" s="44"/>
      <c r="D146" s="44"/>
      <c r="E146" s="44"/>
      <c r="F146" s="44"/>
    </row>
    <row r="147" spans="1:6" ht="14.25">
      <c r="A147" s="108" t="s">
        <v>564</v>
      </c>
      <c r="B147" s="109"/>
      <c r="C147" s="109"/>
      <c r="D147" s="109"/>
      <c r="E147" s="109"/>
      <c r="F147" s="44"/>
    </row>
    <row r="148" spans="1:6" ht="14.25">
      <c r="A148" s="164" t="s">
        <v>16</v>
      </c>
      <c r="B148" s="44"/>
      <c r="C148" s="44"/>
      <c r="D148" s="44"/>
      <c r="E148" s="44">
        <f>+'Otros activos'!C9</f>
        <v>217500000</v>
      </c>
      <c r="F148" s="44"/>
    </row>
    <row r="149" spans="1:6" ht="14.25">
      <c r="A149" s="164" t="s">
        <v>428</v>
      </c>
      <c r="B149" s="44"/>
      <c r="C149" s="44"/>
      <c r="D149" s="44">
        <f>+E148</f>
        <v>217500000</v>
      </c>
      <c r="E149" s="44"/>
      <c r="F149" s="44"/>
    </row>
    <row r="150" spans="1:6" ht="14.25">
      <c r="A150" s="44"/>
      <c r="B150" s="44"/>
      <c r="C150" s="44"/>
      <c r="D150" s="44"/>
      <c r="E150" s="44"/>
      <c r="F150" s="44"/>
    </row>
    <row r="151" spans="1:6" ht="14.25">
      <c r="A151" s="44"/>
      <c r="B151" s="44"/>
      <c r="C151" s="44"/>
      <c r="D151" s="44"/>
      <c r="E151" s="44"/>
      <c r="F151" s="44"/>
    </row>
    <row r="152" spans="1:6" ht="14.25">
      <c r="A152" s="108" t="s">
        <v>565</v>
      </c>
      <c r="B152" s="109"/>
      <c r="C152" s="109"/>
      <c r="D152" s="109"/>
      <c r="E152" s="109"/>
      <c r="F152" s="44"/>
    </row>
    <row r="153" spans="1:6" ht="14.25">
      <c r="A153" s="44"/>
      <c r="B153" s="44"/>
      <c r="C153" s="44"/>
      <c r="D153" s="44"/>
      <c r="E153" s="44"/>
      <c r="F153" s="44"/>
    </row>
    <row r="154" spans="1:6" ht="14.25">
      <c r="A154" s="164" t="s">
        <v>24</v>
      </c>
      <c r="B154" s="44"/>
      <c r="C154" s="44"/>
      <c r="D154" s="44"/>
      <c r="E154" s="44">
        <f>+'Otros activos'!C26+'Otros activos'!C27+'Otros activos'!C31</f>
        <v>306250000</v>
      </c>
      <c r="F154" s="44"/>
    </row>
    <row r="155" spans="1:6" ht="14.25">
      <c r="A155" s="164" t="s">
        <v>239</v>
      </c>
      <c r="B155" s="44"/>
      <c r="C155" s="44"/>
      <c r="D155" s="44">
        <f>+E154</f>
        <v>306250000</v>
      </c>
      <c r="E155" s="44"/>
      <c r="F155" s="44"/>
    </row>
    <row r="156" spans="1:6" ht="14.25">
      <c r="A156" s="44"/>
      <c r="B156" s="44"/>
      <c r="C156" s="44"/>
      <c r="D156" s="44"/>
      <c r="E156" s="44"/>
      <c r="F156" s="44"/>
    </row>
    <row r="157" spans="1:6" ht="14.25">
      <c r="A157" s="44"/>
      <c r="B157" s="44"/>
      <c r="C157" s="44"/>
      <c r="D157" s="44"/>
      <c r="E157" s="44"/>
      <c r="F157" s="44"/>
    </row>
    <row r="158" spans="1:6" ht="14.25">
      <c r="A158" s="108" t="s">
        <v>566</v>
      </c>
      <c r="B158" s="109"/>
      <c r="C158" s="109"/>
      <c r="D158" s="109"/>
      <c r="E158" s="109"/>
      <c r="F158" s="44"/>
    </row>
    <row r="159" spans="1:6" ht="14.25">
      <c r="A159" s="44"/>
      <c r="B159" s="44"/>
      <c r="C159" s="44"/>
      <c r="D159" s="44"/>
      <c r="E159" s="44"/>
      <c r="F159" s="44"/>
    </row>
    <row r="160" spans="1:6" ht="14.25">
      <c r="A160" s="164" t="s">
        <v>24</v>
      </c>
      <c r="B160" s="44"/>
      <c r="C160" s="44"/>
      <c r="D160" s="44"/>
      <c r="E160" s="44">
        <f>+'Otros activos'!C28+'Otros activos'!C29+'Otros activos'!C30</f>
        <v>740000000</v>
      </c>
      <c r="F160" s="44"/>
    </row>
    <row r="161" spans="1:6" ht="14.25">
      <c r="A161" s="164" t="s">
        <v>431</v>
      </c>
      <c r="B161" s="44"/>
      <c r="C161" s="44"/>
      <c r="D161" s="44">
        <f>+'Otros activos'!C28</f>
        <v>510000000</v>
      </c>
      <c r="E161" s="44"/>
      <c r="F161" s="44"/>
    </row>
    <row r="162" spans="1:6" ht="14.25">
      <c r="A162" s="164" t="s">
        <v>432</v>
      </c>
      <c r="B162" s="44"/>
      <c r="C162" s="44"/>
      <c r="D162" s="44">
        <f>+'Otros activos'!C29+'Otros activos'!C30</f>
        <v>230000000</v>
      </c>
      <c r="E162" s="44"/>
      <c r="F162" s="44"/>
    </row>
    <row r="163" spans="1:6" ht="14.25">
      <c r="A163" s="44"/>
      <c r="B163" s="44"/>
      <c r="C163" s="44"/>
      <c r="D163" s="44"/>
      <c r="E163" s="44"/>
      <c r="F163" s="44"/>
    </row>
    <row r="164" spans="1:6" ht="14.25">
      <c r="A164" s="44"/>
      <c r="B164" s="44"/>
      <c r="C164" s="44"/>
      <c r="D164" s="44"/>
      <c r="E164" s="44"/>
      <c r="F164" s="44"/>
    </row>
    <row r="165" spans="1:6" ht="14.25">
      <c r="A165" s="44"/>
      <c r="B165" s="44"/>
      <c r="C165" s="44"/>
      <c r="D165" s="44"/>
      <c r="E165" s="44"/>
      <c r="F165" s="44"/>
    </row>
    <row r="166" spans="1:6" ht="14.25">
      <c r="A166" s="108" t="s">
        <v>616</v>
      </c>
      <c r="B166" s="109"/>
      <c r="C166" s="109"/>
      <c r="D166" s="109"/>
      <c r="E166" s="109"/>
      <c r="F166" s="44"/>
    </row>
    <row r="167" spans="1:6" ht="14.25">
      <c r="A167" s="44"/>
      <c r="B167" s="44"/>
      <c r="C167" s="44"/>
      <c r="D167" s="44"/>
      <c r="E167" s="44"/>
      <c r="F167" s="44"/>
    </row>
    <row r="168" spans="1:6" ht="14.25">
      <c r="A168" s="44" t="s">
        <v>434</v>
      </c>
      <c r="B168" s="44"/>
      <c r="C168" s="44"/>
      <c r="D168" s="44">
        <f>+Leasing!D71</f>
        <v>126666666.66666666</v>
      </c>
      <c r="E168" s="44"/>
      <c r="F168" s="44"/>
    </row>
    <row r="169" spans="1:6" ht="14.25">
      <c r="A169" s="44" t="s">
        <v>435</v>
      </c>
      <c r="B169" s="44"/>
      <c r="C169" s="44"/>
      <c r="D169" s="44"/>
      <c r="E169" s="44">
        <f>+Leasing!D50</f>
        <v>141186794.916614</v>
      </c>
      <c r="F169" s="44"/>
    </row>
    <row r="170" spans="1:6" ht="14.25">
      <c r="A170" s="44" t="s">
        <v>239</v>
      </c>
      <c r="B170" s="44"/>
      <c r="C170" s="44"/>
      <c r="D170" s="44">
        <f>+E169-D168</f>
        <v>14520128.24994734</v>
      </c>
      <c r="E170" s="44"/>
      <c r="F170" s="44"/>
    </row>
    <row r="171" spans="1:6" ht="14.25">
      <c r="A171" s="44"/>
      <c r="B171" s="44"/>
      <c r="C171" s="44"/>
      <c r="D171" s="44"/>
      <c r="E171" s="44"/>
      <c r="F171" s="44"/>
    </row>
    <row r="172" spans="1:6" ht="14.25">
      <c r="A172" s="44"/>
      <c r="B172" s="44"/>
      <c r="C172" s="44"/>
      <c r="D172" s="44"/>
      <c r="E172" s="44"/>
      <c r="F172" s="44"/>
    </row>
    <row r="173" spans="1:6" ht="14.25">
      <c r="A173" s="108" t="s">
        <v>567</v>
      </c>
      <c r="B173" s="109"/>
      <c r="C173" s="109"/>
      <c r="D173" s="109"/>
      <c r="E173" s="109"/>
      <c r="F173" s="44"/>
    </row>
    <row r="174" spans="1:6" ht="14.25">
      <c r="A174" s="44"/>
      <c r="B174" s="44"/>
      <c r="C174" s="44"/>
      <c r="D174" s="44"/>
      <c r="E174" s="44"/>
      <c r="F174" s="44"/>
    </row>
    <row r="175" spans="1:6" ht="14.25">
      <c r="A175" s="44" t="s">
        <v>433</v>
      </c>
      <c r="B175" s="44"/>
      <c r="C175" s="44"/>
      <c r="D175" s="44">
        <f>+Leasing!C275</f>
        <v>910812266.4423214</v>
      </c>
      <c r="E175" s="44"/>
      <c r="F175" s="44"/>
    </row>
    <row r="176" spans="1:6" ht="14.25">
      <c r="A176" s="44" t="s">
        <v>436</v>
      </c>
      <c r="B176" s="44"/>
      <c r="C176" s="44"/>
      <c r="D176" s="44"/>
      <c r="E176" s="44">
        <f>+Leasing!D182</f>
        <v>712178113.0273337</v>
      </c>
      <c r="F176" s="44"/>
    </row>
    <row r="177" spans="1:6" ht="14.25">
      <c r="A177" s="44" t="s">
        <v>239</v>
      </c>
      <c r="B177" s="44"/>
      <c r="C177" s="44"/>
      <c r="D177" s="44"/>
      <c r="E177" s="44">
        <f>+D175-E176</f>
        <v>198634153.41498768</v>
      </c>
      <c r="F177" s="44"/>
    </row>
    <row r="178" spans="1:6" ht="14.25">
      <c r="A178" s="44"/>
      <c r="B178" s="44"/>
      <c r="C178" s="44"/>
      <c r="D178" s="44"/>
      <c r="E178" s="44"/>
      <c r="F178" s="44"/>
    </row>
    <row r="179" spans="1:6" ht="14.25">
      <c r="A179" s="44"/>
      <c r="B179" s="44"/>
      <c r="C179" s="44"/>
      <c r="D179" s="44"/>
      <c r="E179" s="44"/>
      <c r="F179" s="44"/>
    </row>
    <row r="180" spans="1:6" ht="14.25">
      <c r="A180" s="108" t="s">
        <v>568</v>
      </c>
      <c r="B180" s="109"/>
      <c r="C180" s="109"/>
      <c r="D180" s="109"/>
      <c r="E180" s="109"/>
      <c r="F180" s="44"/>
    </row>
    <row r="181" spans="1:6" ht="14.25">
      <c r="A181" s="44"/>
      <c r="B181" s="44"/>
      <c r="C181" s="44"/>
      <c r="D181" s="44"/>
      <c r="E181" s="44"/>
      <c r="F181" s="44"/>
    </row>
    <row r="182" spans="1:6" ht="14.25">
      <c r="A182" s="44" t="s">
        <v>437</v>
      </c>
      <c r="B182" s="44"/>
      <c r="C182" s="44"/>
      <c r="D182" s="44">
        <f>-Pasivos!D10</f>
        <v>34043256.00824618</v>
      </c>
      <c r="E182" s="44"/>
      <c r="F182" s="44"/>
    </row>
    <row r="183" spans="1:6" ht="14.25">
      <c r="A183" s="44" t="s">
        <v>239</v>
      </c>
      <c r="B183" s="44"/>
      <c r="C183" s="44"/>
      <c r="D183" s="44"/>
      <c r="E183" s="44">
        <f>+D182</f>
        <v>34043256.00824618</v>
      </c>
      <c r="F183" s="44"/>
    </row>
    <row r="184" spans="1:6" ht="14.25">
      <c r="A184" s="44"/>
      <c r="B184" s="44"/>
      <c r="C184" s="44"/>
      <c r="D184" s="44"/>
      <c r="E184" s="44"/>
      <c r="F184" s="44"/>
    </row>
    <row r="185" spans="1:6" ht="14.25">
      <c r="A185" s="108" t="s">
        <v>569</v>
      </c>
      <c r="B185" s="109"/>
      <c r="C185" s="109"/>
      <c r="D185" s="109"/>
      <c r="E185" s="109"/>
      <c r="F185" s="44"/>
    </row>
    <row r="186" spans="1:6" ht="14.25">
      <c r="A186" s="44"/>
      <c r="B186" s="44"/>
      <c r="C186" s="44"/>
      <c r="D186" s="44"/>
      <c r="E186" s="44"/>
      <c r="F186" s="44"/>
    </row>
    <row r="187" spans="1:6" ht="14.25">
      <c r="A187" s="44" t="s">
        <v>441</v>
      </c>
      <c r="B187" s="44"/>
      <c r="C187" s="44"/>
      <c r="D187" s="44">
        <f>+Pasivos!C28</f>
        <v>254000000</v>
      </c>
      <c r="E187" s="44"/>
      <c r="F187" s="44"/>
    </row>
    <row r="188" spans="1:6" ht="14.25">
      <c r="A188" s="44" t="s">
        <v>293</v>
      </c>
      <c r="B188" s="44"/>
      <c r="C188" s="44"/>
      <c r="D188" s="44"/>
      <c r="E188" s="44">
        <f>+D187</f>
        <v>254000000</v>
      </c>
      <c r="F188" s="44"/>
    </row>
    <row r="189" spans="1:6" ht="14.25">
      <c r="A189" s="44"/>
      <c r="B189" s="44"/>
      <c r="C189" s="44"/>
      <c r="D189" s="44"/>
      <c r="E189" s="44"/>
      <c r="F189" s="44"/>
    </row>
    <row r="190" spans="1:6" ht="14.25">
      <c r="A190" s="44"/>
      <c r="B190" s="44"/>
      <c r="C190" s="44"/>
      <c r="D190" s="44"/>
      <c r="E190" s="44"/>
      <c r="F190" s="44"/>
    </row>
    <row r="191" spans="1:6" ht="14.25">
      <c r="A191" s="108" t="s">
        <v>570</v>
      </c>
      <c r="B191" s="109"/>
      <c r="C191" s="109"/>
      <c r="D191" s="109"/>
      <c r="E191" s="109"/>
      <c r="F191" s="44"/>
    </row>
    <row r="192" spans="1:6" ht="14.25">
      <c r="A192" s="44"/>
      <c r="B192" s="44"/>
      <c r="C192" s="44"/>
      <c r="D192" s="44"/>
      <c r="E192" s="44"/>
      <c r="F192" s="44"/>
    </row>
    <row r="193" spans="1:6" ht="14.25">
      <c r="A193" s="44" t="s">
        <v>442</v>
      </c>
      <c r="B193" s="44"/>
      <c r="C193" s="44"/>
      <c r="D193" s="44"/>
      <c r="E193" s="44">
        <f>+Pasivos!D36</f>
        <v>5316830</v>
      </c>
      <c r="F193" s="44"/>
    </row>
    <row r="194" spans="1:6" ht="14.25">
      <c r="A194" s="44" t="s">
        <v>239</v>
      </c>
      <c r="B194" s="44"/>
      <c r="C194" s="44"/>
      <c r="D194" s="44">
        <f>+E193</f>
        <v>5316830</v>
      </c>
      <c r="E194" s="44"/>
      <c r="F194" s="44"/>
    </row>
    <row r="195" spans="1:6" ht="14.25">
      <c r="A195" s="44"/>
      <c r="B195" s="44"/>
      <c r="C195" s="44"/>
      <c r="D195" s="44"/>
      <c r="E195" s="44"/>
      <c r="F195" s="44"/>
    </row>
    <row r="196" spans="1:6" ht="14.25">
      <c r="A196" s="44"/>
      <c r="B196" s="44"/>
      <c r="C196" s="44"/>
      <c r="D196" s="44"/>
      <c r="E196" s="44"/>
      <c r="F196" s="44"/>
    </row>
    <row r="197" spans="1:6" ht="14.25">
      <c r="A197" s="108" t="s">
        <v>571</v>
      </c>
      <c r="B197" s="109"/>
      <c r="C197" s="109"/>
      <c r="D197" s="109"/>
      <c r="E197" s="109"/>
      <c r="F197" s="44"/>
    </row>
    <row r="198" spans="1:6" ht="14.25">
      <c r="A198" s="44"/>
      <c r="B198" s="44"/>
      <c r="C198" s="44"/>
      <c r="D198" s="44"/>
      <c r="E198" s="44"/>
      <c r="F198" s="44"/>
    </row>
    <row r="199" spans="1:6" ht="14.25">
      <c r="A199" s="44" t="s">
        <v>384</v>
      </c>
      <c r="B199" s="44"/>
      <c r="C199" s="44"/>
      <c r="D199" s="44">
        <f>+Pasivos!C53</f>
        <v>48000000</v>
      </c>
      <c r="E199" s="44"/>
      <c r="F199" s="44"/>
    </row>
    <row r="200" spans="1:6" ht="14.25">
      <c r="A200" s="44" t="s">
        <v>443</v>
      </c>
      <c r="B200" s="44"/>
      <c r="C200" s="44"/>
      <c r="D200" s="44"/>
      <c r="E200" s="44">
        <f>+D199</f>
        <v>48000000</v>
      </c>
      <c r="F200" s="44"/>
    </row>
    <row r="201" spans="1:6" ht="14.25">
      <c r="A201" s="44"/>
      <c r="B201" s="44"/>
      <c r="C201" s="44"/>
      <c r="D201" s="44"/>
      <c r="E201" s="44"/>
      <c r="F201" s="44"/>
    </row>
    <row r="202" spans="1:6" ht="14.25">
      <c r="A202" s="44"/>
      <c r="B202" s="44"/>
      <c r="C202" s="44"/>
      <c r="D202" s="44"/>
      <c r="E202" s="44"/>
      <c r="F202" s="44"/>
    </row>
    <row r="203" spans="1:6" ht="14.25">
      <c r="A203" s="108" t="s">
        <v>572</v>
      </c>
      <c r="B203" s="109"/>
      <c r="C203" s="109"/>
      <c r="D203" s="109"/>
      <c r="E203" s="109"/>
      <c r="F203" s="44"/>
    </row>
    <row r="204" spans="1:6" ht="14.25">
      <c r="A204" s="44"/>
      <c r="B204" s="44"/>
      <c r="C204" s="44"/>
      <c r="D204" s="44"/>
      <c r="E204" s="44"/>
      <c r="F204" s="44"/>
    </row>
    <row r="205" spans="1:6" ht="14.25">
      <c r="A205" s="44" t="s">
        <v>444</v>
      </c>
      <c r="B205" s="44"/>
      <c r="C205" s="44"/>
      <c r="D205" s="44">
        <f>+Pasivos!C54</f>
        <v>85000000</v>
      </c>
      <c r="E205" s="44"/>
      <c r="F205" s="44"/>
    </row>
    <row r="206" spans="1:6" ht="14.25">
      <c r="A206" s="44" t="s">
        <v>239</v>
      </c>
      <c r="B206" s="44"/>
      <c r="C206" s="44"/>
      <c r="D206" s="44"/>
      <c r="E206" s="44">
        <f>+D205</f>
        <v>85000000</v>
      </c>
      <c r="F206" s="44"/>
    </row>
    <row r="207" spans="1:6" ht="14.25">
      <c r="A207" s="44"/>
      <c r="B207" s="44"/>
      <c r="C207" s="44"/>
      <c r="D207" s="44"/>
      <c r="E207" s="44"/>
      <c r="F207" s="44"/>
    </row>
    <row r="208" spans="1:6" ht="14.25">
      <c r="A208" s="44"/>
      <c r="B208" s="44"/>
      <c r="C208" s="44"/>
      <c r="D208" s="44"/>
      <c r="E208" s="44"/>
      <c r="F208" s="44"/>
    </row>
    <row r="209" spans="1:6" ht="14.25">
      <c r="A209" s="108" t="s">
        <v>573</v>
      </c>
      <c r="B209" s="109"/>
      <c r="C209" s="109"/>
      <c r="D209" s="109"/>
      <c r="E209" s="109"/>
      <c r="F209" s="44"/>
    </row>
    <row r="210" spans="1:6" ht="14.25">
      <c r="A210" s="44"/>
      <c r="B210" s="44"/>
      <c r="C210" s="44"/>
      <c r="D210" s="44"/>
      <c r="E210" s="44"/>
      <c r="F210" s="44"/>
    </row>
    <row r="211" spans="1:6" ht="14.25">
      <c r="A211" s="44" t="s">
        <v>450</v>
      </c>
      <c r="B211" s="44"/>
      <c r="C211" s="44"/>
      <c r="D211" s="44">
        <f>-Pasivos!D56</f>
        <v>90651876.8221575</v>
      </c>
      <c r="E211" s="44"/>
      <c r="F211" s="44"/>
    </row>
    <row r="212" spans="1:6" ht="14.25">
      <c r="A212" s="44" t="s">
        <v>239</v>
      </c>
      <c r="B212" s="44"/>
      <c r="C212" s="44"/>
      <c r="D212" s="44"/>
      <c r="E212" s="44">
        <f>+D211</f>
        <v>90651876.8221575</v>
      </c>
      <c r="F212" s="44"/>
    </row>
    <row r="213" spans="1:6" ht="14.25">
      <c r="A213" s="44"/>
      <c r="B213" s="44"/>
      <c r="C213" s="44"/>
      <c r="D213" s="44"/>
      <c r="E213" s="44"/>
      <c r="F213" s="44"/>
    </row>
    <row r="214" spans="1:6" ht="14.25">
      <c r="A214" s="44"/>
      <c r="B214" s="44"/>
      <c r="C214" s="44"/>
      <c r="D214" s="44"/>
      <c r="E214" s="44"/>
      <c r="F214" s="44"/>
    </row>
    <row r="215" spans="1:6" ht="14.25">
      <c r="A215" s="108" t="s">
        <v>484</v>
      </c>
      <c r="B215" s="109"/>
      <c r="C215" s="109"/>
      <c r="D215" s="109"/>
      <c r="E215" s="109"/>
      <c r="F215" s="44"/>
    </row>
    <row r="216" spans="1:6" ht="14.25">
      <c r="A216" s="44"/>
      <c r="B216" s="44"/>
      <c r="C216" s="44"/>
      <c r="D216" s="44"/>
      <c r="E216" s="44"/>
      <c r="F216" s="44"/>
    </row>
    <row r="217" spans="1:6" ht="14.25">
      <c r="A217" s="44" t="s">
        <v>485</v>
      </c>
      <c r="B217" s="44"/>
      <c r="C217" s="44"/>
      <c r="D217" s="44"/>
      <c r="E217" s="44">
        <f>+Pasivos!F60</f>
        <v>52083333.333333336</v>
      </c>
      <c r="F217" s="44"/>
    </row>
    <row r="218" spans="1:6" ht="14.25">
      <c r="A218" s="44" t="s">
        <v>239</v>
      </c>
      <c r="B218" s="44"/>
      <c r="C218" s="44"/>
      <c r="D218" s="44">
        <f>+E217</f>
        <v>52083333.333333336</v>
      </c>
      <c r="E218" s="44"/>
      <c r="F218" s="44"/>
    </row>
    <row r="219" spans="1:6" ht="14.25">
      <c r="A219" s="44"/>
      <c r="B219" s="44"/>
      <c r="C219" s="44"/>
      <c r="D219" s="44"/>
      <c r="E219" s="44"/>
      <c r="F219" s="44"/>
    </row>
    <row r="220" spans="1:6" ht="14.25">
      <c r="A220" s="44"/>
      <c r="B220" s="44"/>
      <c r="C220" s="44"/>
      <c r="D220" s="44"/>
      <c r="E220" s="44"/>
      <c r="F220" s="44"/>
    </row>
    <row r="221" spans="1:6" ht="14.25">
      <c r="A221" s="108" t="s">
        <v>453</v>
      </c>
      <c r="B221" s="109"/>
      <c r="C221" s="109"/>
      <c r="D221" s="109"/>
      <c r="E221" s="109"/>
      <c r="F221" s="44"/>
    </row>
    <row r="222" spans="1:6" ht="14.25">
      <c r="A222" s="44"/>
      <c r="B222" s="44"/>
      <c r="C222" s="44"/>
      <c r="D222" s="44"/>
      <c r="E222" s="44"/>
      <c r="F222" s="44"/>
    </row>
    <row r="223" spans="1:6" ht="14.25">
      <c r="A223" s="44" t="s">
        <v>454</v>
      </c>
      <c r="B223" s="44"/>
      <c r="C223" s="44"/>
      <c r="D223" s="44">
        <f>+Patrimonio!B7</f>
        <v>314726772</v>
      </c>
      <c r="E223" s="44"/>
      <c r="F223" s="44"/>
    </row>
    <row r="224" spans="1:6" ht="14.25">
      <c r="A224" s="44" t="s">
        <v>455</v>
      </c>
      <c r="B224" s="44"/>
      <c r="C224" s="44"/>
      <c r="D224" s="44">
        <f>+Patrimonio!B11</f>
        <v>352600000</v>
      </c>
      <c r="E224" s="44"/>
      <c r="F224" s="44"/>
    </row>
    <row r="225" spans="1:6" ht="14.25">
      <c r="A225" s="44" t="s">
        <v>239</v>
      </c>
      <c r="B225" s="44"/>
      <c r="C225" s="44"/>
      <c r="D225" s="44"/>
      <c r="E225" s="44">
        <f>+D223+D224</f>
        <v>667326772</v>
      </c>
      <c r="F225" s="44"/>
    </row>
    <row r="226" spans="1:6" ht="14.25">
      <c r="A226" s="44"/>
      <c r="B226" s="44"/>
      <c r="C226" s="44"/>
      <c r="D226" s="44"/>
      <c r="E226" s="44"/>
      <c r="F226" s="44"/>
    </row>
    <row r="227" spans="1:6" ht="14.25">
      <c r="A227" s="44"/>
      <c r="B227" s="44"/>
      <c r="C227" s="44"/>
      <c r="D227" s="44"/>
      <c r="E227" s="44"/>
      <c r="F227" s="44"/>
    </row>
    <row r="228" spans="1:6" ht="14.25">
      <c r="A228" s="108" t="s">
        <v>478</v>
      </c>
      <c r="B228" s="109"/>
      <c r="C228" s="109"/>
      <c r="D228" s="109"/>
      <c r="E228" s="109"/>
      <c r="F228" s="44"/>
    </row>
    <row r="229" spans="1:6" ht="14.25">
      <c r="A229" s="44"/>
      <c r="B229" s="44"/>
      <c r="C229" s="44"/>
      <c r="D229" s="44"/>
      <c r="E229" s="44"/>
      <c r="F229" s="44"/>
    </row>
    <row r="230" spans="1:6" ht="14.25">
      <c r="A230" s="164" t="s">
        <v>479</v>
      </c>
      <c r="B230" s="44"/>
      <c r="C230" s="44"/>
      <c r="D230" s="44"/>
      <c r="E230" s="44">
        <f>-'Imp diferidos'!E33-'Imp diferidos'!F33</f>
        <v>611620977.999682</v>
      </c>
      <c r="F230" s="44"/>
    </row>
    <row r="231" spans="1:6" ht="14.25">
      <c r="A231" s="164" t="s">
        <v>239</v>
      </c>
      <c r="B231" s="44"/>
      <c r="C231" s="44"/>
      <c r="D231" s="44">
        <f>+E230</f>
        <v>611620977.999682</v>
      </c>
      <c r="E231" s="44"/>
      <c r="F231" s="44"/>
    </row>
    <row r="232" spans="1:6" ht="14.25">
      <c r="A232" s="44"/>
      <c r="B232" s="44"/>
      <c r="C232" s="44"/>
      <c r="D232" s="44"/>
      <c r="E232" s="44"/>
      <c r="F232" s="44"/>
    </row>
    <row r="233" spans="1:6" ht="14.25">
      <c r="A233" s="44"/>
      <c r="B233" s="44"/>
      <c r="C233" s="44"/>
      <c r="D233" s="44"/>
      <c r="E233" s="44"/>
      <c r="F233" s="44"/>
    </row>
    <row r="234" spans="1:6" ht="14.25">
      <c r="A234" s="44"/>
      <c r="B234" s="44"/>
      <c r="C234" s="44"/>
      <c r="D234" s="44"/>
      <c r="E234" s="44"/>
      <c r="F234" s="44"/>
    </row>
    <row r="235" spans="1:6" ht="14.25">
      <c r="A235" s="44"/>
      <c r="B235" s="44"/>
      <c r="C235" s="44"/>
      <c r="D235" s="44"/>
      <c r="E235" s="44"/>
      <c r="F235" s="44"/>
    </row>
    <row r="236" spans="1:6" ht="14.25">
      <c r="A236" s="44"/>
      <c r="B236" s="44"/>
      <c r="C236" s="44"/>
      <c r="D236" s="44"/>
      <c r="E236" s="44"/>
      <c r="F236" s="44"/>
    </row>
    <row r="237" spans="1:6" ht="14.25">
      <c r="A237" s="44"/>
      <c r="B237" s="44"/>
      <c r="C237" s="44"/>
      <c r="D237" s="44"/>
      <c r="E237" s="44"/>
      <c r="F237" s="44"/>
    </row>
    <row r="238" spans="1:6" ht="14.25">
      <c r="A238" s="44"/>
      <c r="B238" s="44"/>
      <c r="C238" s="44"/>
      <c r="D238" s="44"/>
      <c r="E238" s="44"/>
      <c r="F238" s="44"/>
    </row>
    <row r="239" spans="1:6" ht="14.25">
      <c r="A239" s="44"/>
      <c r="B239" s="44"/>
      <c r="C239" s="44"/>
      <c r="D239" s="44"/>
      <c r="E239" s="44"/>
      <c r="F239" s="44"/>
    </row>
    <row r="240" spans="1:6" ht="14.25">
      <c r="A240" s="44"/>
      <c r="B240" s="44"/>
      <c r="C240" s="44"/>
      <c r="D240" s="44"/>
      <c r="E240" s="44"/>
      <c r="F240" s="44"/>
    </row>
    <row r="241" spans="1:6" ht="14.25">
      <c r="A241" s="44"/>
      <c r="B241" s="44"/>
      <c r="C241" s="44"/>
      <c r="D241" s="44"/>
      <c r="E241" s="44"/>
      <c r="F241" s="44"/>
    </row>
    <row r="242" spans="1:6" ht="14.25">
      <c r="A242" s="44"/>
      <c r="B242" s="44"/>
      <c r="C242" s="44"/>
      <c r="D242" s="44"/>
      <c r="E242" s="44"/>
      <c r="F242" s="44"/>
    </row>
    <row r="243" spans="1:6" ht="14.25">
      <c r="A243" s="44"/>
      <c r="B243" s="44"/>
      <c r="C243" s="44"/>
      <c r="D243" s="44"/>
      <c r="E243" s="44"/>
      <c r="F243" s="44"/>
    </row>
    <row r="244" spans="1:6" ht="14.25">
      <c r="A244" s="44"/>
      <c r="B244" s="44"/>
      <c r="C244" s="44"/>
      <c r="D244" s="44"/>
      <c r="E244" s="44"/>
      <c r="F244" s="44"/>
    </row>
    <row r="245" spans="1:6" ht="14.25">
      <c r="A245" s="44"/>
      <c r="B245" s="44"/>
      <c r="C245" s="44"/>
      <c r="D245" s="44"/>
      <c r="E245" s="44"/>
      <c r="F245" s="44"/>
    </row>
    <row r="246" spans="1:6" ht="14.25">
      <c r="A246" s="44"/>
      <c r="B246" s="44"/>
      <c r="C246" s="44"/>
      <c r="D246" s="44"/>
      <c r="E246" s="44"/>
      <c r="F246" s="44"/>
    </row>
    <row r="247" spans="1:6" ht="14.25">
      <c r="A247" s="44"/>
      <c r="B247" s="44"/>
      <c r="C247" s="44"/>
      <c r="D247" s="44"/>
      <c r="E247" s="44"/>
      <c r="F247" s="44"/>
    </row>
    <row r="248" spans="1:6" ht="14.25">
      <c r="A248" s="44"/>
      <c r="B248" s="44"/>
      <c r="C248" s="44"/>
      <c r="D248" s="44"/>
      <c r="E248" s="44"/>
      <c r="F248" s="44"/>
    </row>
    <row r="249" spans="1:6" ht="14.25">
      <c r="A249" s="44"/>
      <c r="B249" s="44"/>
      <c r="C249" s="44"/>
      <c r="D249" s="44"/>
      <c r="E249" s="44"/>
      <c r="F249" s="44"/>
    </row>
    <row r="250" spans="1:6" ht="14.25">
      <c r="A250" s="44"/>
      <c r="B250" s="44"/>
      <c r="C250" s="44"/>
      <c r="D250" s="44"/>
      <c r="E250" s="44"/>
      <c r="F250" s="44"/>
    </row>
    <row r="251" spans="1:6" ht="14.25">
      <c r="A251" s="44"/>
      <c r="B251" s="44"/>
      <c r="C251" s="44"/>
      <c r="D251" s="44"/>
      <c r="E251" s="44"/>
      <c r="F251" s="44"/>
    </row>
    <row r="252" spans="1:6" ht="14.25">
      <c r="A252" s="44"/>
      <c r="B252" s="44"/>
      <c r="C252" s="44"/>
      <c r="D252" s="44"/>
      <c r="E252" s="44"/>
      <c r="F252" s="44"/>
    </row>
    <row r="253" spans="1:6" ht="14.25">
      <c r="A253" s="44"/>
      <c r="B253" s="44"/>
      <c r="C253" s="44"/>
      <c r="D253" s="44"/>
      <c r="E253" s="44"/>
      <c r="F253" s="44"/>
    </row>
    <row r="254" spans="1:6" ht="14.25">
      <c r="A254" s="44"/>
      <c r="B254" s="44"/>
      <c r="C254" s="44"/>
      <c r="D254" s="44"/>
      <c r="E254" s="44"/>
      <c r="F254" s="44"/>
    </row>
    <row r="255" spans="1:6" ht="14.25">
      <c r="A255" s="44"/>
      <c r="B255" s="44"/>
      <c r="C255" s="44"/>
      <c r="D255" s="44"/>
      <c r="E255" s="44"/>
      <c r="F255" s="44"/>
    </row>
    <row r="256" spans="1:6" ht="14.25">
      <c r="A256" s="44"/>
      <c r="B256" s="44"/>
      <c r="C256" s="44"/>
      <c r="D256" s="44"/>
      <c r="E256" s="44"/>
      <c r="F256" s="44"/>
    </row>
    <row r="257" spans="1:6" ht="14.25">
      <c r="A257" s="44"/>
      <c r="B257" s="44"/>
      <c r="C257" s="44"/>
      <c r="D257" s="44"/>
      <c r="E257" s="44"/>
      <c r="F257" s="44"/>
    </row>
    <row r="258" spans="1:6" ht="14.25">
      <c r="A258" s="44"/>
      <c r="B258" s="44"/>
      <c r="C258" s="44"/>
      <c r="D258" s="44"/>
      <c r="E258" s="44"/>
      <c r="F258" s="44"/>
    </row>
    <row r="259" spans="1:6" ht="14.25">
      <c r="A259" s="44"/>
      <c r="B259" s="44"/>
      <c r="C259" s="44"/>
      <c r="D259" s="44"/>
      <c r="E259" s="44"/>
      <c r="F259" s="44"/>
    </row>
    <row r="260" spans="1:6" ht="14.25">
      <c r="A260" s="44"/>
      <c r="B260" s="44"/>
      <c r="C260" s="44"/>
      <c r="D260" s="44"/>
      <c r="E260" s="44"/>
      <c r="F260" s="44"/>
    </row>
    <row r="261" spans="1:6" ht="14.25">
      <c r="A261" s="44"/>
      <c r="B261" s="44"/>
      <c r="C261" s="44"/>
      <c r="D261" s="44"/>
      <c r="E261" s="44"/>
      <c r="F261" s="44"/>
    </row>
    <row r="262" spans="1:6" ht="14.25">
      <c r="A262" s="44"/>
      <c r="B262" s="44"/>
      <c r="C262" s="44"/>
      <c r="D262" s="44"/>
      <c r="E262" s="44"/>
      <c r="F262" s="44"/>
    </row>
    <row r="263" spans="1:6" ht="14.25">
      <c r="A263" s="44"/>
      <c r="B263" s="44"/>
      <c r="C263" s="44"/>
      <c r="D263" s="44"/>
      <c r="E263" s="44"/>
      <c r="F263" s="44"/>
    </row>
    <row r="264" spans="1:6" ht="14.25">
      <c r="A264" s="44"/>
      <c r="B264" s="44"/>
      <c r="C264" s="44"/>
      <c r="D264" s="44"/>
      <c r="E264" s="44"/>
      <c r="F264" s="44"/>
    </row>
    <row r="265" spans="1:6" ht="14.25">
      <c r="A265" s="44"/>
      <c r="B265" s="44"/>
      <c r="C265" s="44"/>
      <c r="D265" s="44"/>
      <c r="E265" s="44"/>
      <c r="F265" s="44"/>
    </row>
    <row r="266" spans="1:6" ht="14.25">
      <c r="A266" s="44"/>
      <c r="B266" s="44"/>
      <c r="C266" s="44"/>
      <c r="D266" s="44"/>
      <c r="E266" s="44"/>
      <c r="F266" s="44"/>
    </row>
    <row r="267" spans="1:6" ht="14.25">
      <c r="A267" s="44"/>
      <c r="B267" s="44"/>
      <c r="C267" s="44"/>
      <c r="D267" s="44"/>
      <c r="E267" s="44"/>
      <c r="F267" s="44"/>
    </row>
    <row r="268" spans="1:6" ht="14.25">
      <c r="A268" s="44"/>
      <c r="B268" s="44"/>
      <c r="C268" s="44"/>
      <c r="D268" s="44"/>
      <c r="E268" s="44"/>
      <c r="F268" s="44"/>
    </row>
    <row r="269" spans="1:6" ht="14.25">
      <c r="A269" s="44"/>
      <c r="B269" s="44"/>
      <c r="C269" s="44"/>
      <c r="D269" s="44"/>
      <c r="E269" s="44"/>
      <c r="F269" s="44"/>
    </row>
    <row r="270" spans="1:6" ht="14.25">
      <c r="A270" s="44"/>
      <c r="B270" s="44"/>
      <c r="C270" s="44"/>
      <c r="D270" s="44"/>
      <c r="E270" s="44"/>
      <c r="F270" s="44"/>
    </row>
    <row r="271" spans="1:6" ht="14.25">
      <c r="A271" s="44"/>
      <c r="B271" s="44"/>
      <c r="C271" s="44"/>
      <c r="D271" s="44"/>
      <c r="E271" s="44"/>
      <c r="F271" s="44"/>
    </row>
    <row r="272" spans="1:6" ht="14.25">
      <c r="A272" s="44"/>
      <c r="B272" s="44"/>
      <c r="C272" s="44"/>
      <c r="D272" s="44"/>
      <c r="E272" s="44"/>
      <c r="F272" s="44"/>
    </row>
    <row r="273" spans="1:6" ht="14.25">
      <c r="A273" s="44"/>
      <c r="B273" s="44"/>
      <c r="C273" s="44"/>
      <c r="D273" s="44"/>
      <c r="E273" s="44"/>
      <c r="F273" s="44"/>
    </row>
    <row r="274" spans="1:6" ht="14.25">
      <c r="A274" s="44"/>
      <c r="B274" s="44"/>
      <c r="C274" s="44"/>
      <c r="D274" s="44"/>
      <c r="E274" s="44"/>
      <c r="F274" s="44"/>
    </row>
    <row r="275" spans="1:6" ht="14.25">
      <c r="A275" s="44"/>
      <c r="B275" s="44"/>
      <c r="C275" s="44"/>
      <c r="D275" s="44"/>
      <c r="E275" s="44"/>
      <c r="F275" s="44"/>
    </row>
    <row r="276" spans="1:6" ht="14.25">
      <c r="A276" s="44"/>
      <c r="B276" s="44"/>
      <c r="C276" s="44"/>
      <c r="D276" s="44"/>
      <c r="E276" s="44"/>
      <c r="F276" s="44"/>
    </row>
    <row r="277" spans="1:6" ht="14.25">
      <c r="A277" s="44"/>
      <c r="B277" s="44"/>
      <c r="C277" s="44"/>
      <c r="D277" s="44"/>
      <c r="E277" s="44"/>
      <c r="F277" s="44"/>
    </row>
    <row r="278" spans="1:6" ht="14.25">
      <c r="A278" s="44"/>
      <c r="B278" s="44"/>
      <c r="C278" s="44"/>
      <c r="D278" s="44"/>
      <c r="E278" s="44"/>
      <c r="F278" s="44"/>
    </row>
    <row r="279" spans="1:6" ht="14.25">
      <c r="A279" s="44"/>
      <c r="B279" s="44"/>
      <c r="C279" s="44"/>
      <c r="D279" s="44"/>
      <c r="E279" s="44"/>
      <c r="F279" s="44"/>
    </row>
    <row r="280" spans="1:6" ht="14.25">
      <c r="A280" s="44"/>
      <c r="B280" s="44"/>
      <c r="C280" s="44"/>
      <c r="D280" s="44"/>
      <c r="E280" s="44"/>
      <c r="F280" s="44"/>
    </row>
    <row r="281" spans="1:6" ht="14.25">
      <c r="A281" s="44"/>
      <c r="B281" s="44"/>
      <c r="C281" s="44"/>
      <c r="D281" s="44"/>
      <c r="E281" s="44"/>
      <c r="F281" s="44"/>
    </row>
    <row r="282" spans="1:6" ht="14.25">
      <c r="A282" s="44"/>
      <c r="B282" s="44"/>
      <c r="C282" s="44"/>
      <c r="D282" s="44"/>
      <c r="E282" s="44"/>
      <c r="F282" s="44"/>
    </row>
    <row r="283" spans="1:6" ht="14.25">
      <c r="A283" s="44"/>
      <c r="B283" s="44"/>
      <c r="C283" s="44"/>
      <c r="D283" s="44"/>
      <c r="E283" s="44"/>
      <c r="F283" s="44"/>
    </row>
    <row r="284" spans="1:6" ht="14.25">
      <c r="A284" s="44"/>
      <c r="B284" s="44"/>
      <c r="C284" s="44"/>
      <c r="D284" s="44"/>
      <c r="E284" s="44"/>
      <c r="F284" s="44"/>
    </row>
    <row r="285" spans="1:6" ht="14.25">
      <c r="A285" s="44"/>
      <c r="B285" s="44"/>
      <c r="C285" s="44"/>
      <c r="D285" s="44"/>
      <c r="E285" s="44"/>
      <c r="F285" s="44"/>
    </row>
    <row r="286" spans="1:6" ht="14.25">
      <c r="A286" s="44"/>
      <c r="B286" s="44"/>
      <c r="C286" s="44"/>
      <c r="D286" s="44"/>
      <c r="E286" s="44"/>
      <c r="F286" s="44"/>
    </row>
    <row r="287" spans="1:6" ht="14.25">
      <c r="A287" s="44"/>
      <c r="B287" s="44"/>
      <c r="C287" s="44"/>
      <c r="D287" s="44"/>
      <c r="E287" s="44"/>
      <c r="F287" s="44"/>
    </row>
    <row r="288" spans="1:6" ht="14.25">
      <c r="A288" s="44"/>
      <c r="B288" s="44"/>
      <c r="C288" s="44"/>
      <c r="D288" s="44"/>
      <c r="E288" s="44"/>
      <c r="F288" s="44"/>
    </row>
    <row r="289" spans="1:6" ht="14.25">
      <c r="A289" s="44"/>
      <c r="B289" s="44"/>
      <c r="C289" s="44"/>
      <c r="D289" s="44"/>
      <c r="E289" s="44"/>
      <c r="F289" s="44"/>
    </row>
    <row r="290" spans="1:6" ht="14.25">
      <c r="A290" s="44"/>
      <c r="B290" s="44"/>
      <c r="C290" s="44"/>
      <c r="D290" s="44"/>
      <c r="E290" s="44"/>
      <c r="F290" s="44"/>
    </row>
    <row r="291" spans="1:6" ht="14.25">
      <c r="A291" s="44"/>
      <c r="B291" s="44"/>
      <c r="C291" s="44"/>
      <c r="D291" s="44"/>
      <c r="E291" s="44"/>
      <c r="F291" s="44"/>
    </row>
    <row r="292" spans="1:6" ht="14.25">
      <c r="A292" s="44"/>
      <c r="B292" s="44"/>
      <c r="C292" s="44"/>
      <c r="D292" s="44"/>
      <c r="E292" s="44"/>
      <c r="F292" s="44"/>
    </row>
    <row r="293" spans="1:6" ht="14.25">
      <c r="A293" s="44"/>
      <c r="B293" s="44"/>
      <c r="C293" s="44"/>
      <c r="D293" s="44"/>
      <c r="E293" s="44"/>
      <c r="F293" s="44"/>
    </row>
    <row r="294" spans="1:6" ht="14.25">
      <c r="A294" s="44"/>
      <c r="B294" s="44"/>
      <c r="C294" s="44"/>
      <c r="D294" s="44"/>
      <c r="E294" s="44"/>
      <c r="F294" s="44"/>
    </row>
    <row r="295" spans="1:6" ht="14.25">
      <c r="A295" s="44"/>
      <c r="B295" s="44"/>
      <c r="C295" s="44"/>
      <c r="D295" s="44"/>
      <c r="E295" s="44"/>
      <c r="F295" s="44"/>
    </row>
    <row r="296" spans="1:6" ht="14.25">
      <c r="A296" s="44"/>
      <c r="B296" s="44"/>
      <c r="C296" s="44"/>
      <c r="D296" s="44"/>
      <c r="E296" s="44"/>
      <c r="F296" s="44"/>
    </row>
    <row r="297" spans="1:6" ht="14.25">
      <c r="A297" s="44"/>
      <c r="B297" s="44"/>
      <c r="C297" s="44"/>
      <c r="D297" s="44"/>
      <c r="E297" s="44"/>
      <c r="F297" s="44"/>
    </row>
    <row r="298" spans="1:6" ht="14.25">
      <c r="A298" s="44"/>
      <c r="B298" s="44"/>
      <c r="C298" s="44"/>
      <c r="D298" s="44"/>
      <c r="E298" s="44"/>
      <c r="F298" s="44"/>
    </row>
    <row r="299" spans="1:6" ht="14.25">
      <c r="A299" s="44"/>
      <c r="B299" s="44"/>
      <c r="C299" s="44"/>
      <c r="D299" s="44"/>
      <c r="E299" s="44"/>
      <c r="F299" s="44"/>
    </row>
    <row r="300" spans="1:6" ht="14.25">
      <c r="A300" s="44"/>
      <c r="B300" s="44"/>
      <c r="C300" s="44"/>
      <c r="D300" s="44"/>
      <c r="E300" s="44"/>
      <c r="F300" s="44"/>
    </row>
    <row r="301" spans="1:6" ht="14.25">
      <c r="A301" s="44"/>
      <c r="B301" s="44"/>
      <c r="C301" s="44"/>
      <c r="D301" s="44"/>
      <c r="E301" s="44"/>
      <c r="F301" s="44"/>
    </row>
    <row r="302" spans="1:6" ht="14.25">
      <c r="A302" s="44"/>
      <c r="B302" s="44"/>
      <c r="C302" s="44"/>
      <c r="D302" s="44"/>
      <c r="E302" s="44"/>
      <c r="F302" s="44"/>
    </row>
    <row r="303" spans="1:6" ht="14.25">
      <c r="A303" s="44"/>
      <c r="B303" s="44"/>
      <c r="C303" s="44"/>
      <c r="D303" s="44"/>
      <c r="E303" s="44"/>
      <c r="F303" s="44"/>
    </row>
    <row r="304" spans="1:6" ht="14.25">
      <c r="A304" s="44"/>
      <c r="B304" s="44"/>
      <c r="C304" s="44"/>
      <c r="D304" s="44"/>
      <c r="E304" s="44"/>
      <c r="F304" s="44"/>
    </row>
    <row r="305" spans="1:6" ht="14.25">
      <c r="A305" s="44"/>
      <c r="B305" s="44"/>
      <c r="C305" s="44"/>
      <c r="D305" s="44"/>
      <c r="E305" s="44"/>
      <c r="F305" s="44"/>
    </row>
    <row r="306" spans="1:6" ht="14.25">
      <c r="A306" s="44"/>
      <c r="B306" s="44"/>
      <c r="C306" s="44"/>
      <c r="D306" s="44"/>
      <c r="E306" s="44"/>
      <c r="F306" s="44"/>
    </row>
    <row r="307" spans="1:6" ht="14.25">
      <c r="A307" s="44"/>
      <c r="B307" s="44"/>
      <c r="C307" s="44"/>
      <c r="D307" s="44"/>
      <c r="E307" s="44"/>
      <c r="F307" s="44"/>
    </row>
    <row r="308" spans="1:6" ht="14.25">
      <c r="A308" s="44"/>
      <c r="B308" s="44"/>
      <c r="C308" s="44"/>
      <c r="D308" s="44"/>
      <c r="E308" s="44"/>
      <c r="F308" s="44"/>
    </row>
    <row r="309" spans="1:6" ht="14.25">
      <c r="A309" s="44"/>
      <c r="B309" s="44"/>
      <c r="C309" s="44"/>
      <c r="D309" s="44"/>
      <c r="E309" s="44"/>
      <c r="F309" s="44"/>
    </row>
    <row r="310" spans="1:6" ht="14.25">
      <c r="A310" s="44"/>
      <c r="B310" s="44"/>
      <c r="C310" s="44"/>
      <c r="D310" s="44"/>
      <c r="E310" s="44"/>
      <c r="F310" s="44"/>
    </row>
    <row r="311" spans="1:6" ht="14.25">
      <c r="A311" s="44"/>
      <c r="B311" s="44"/>
      <c r="C311" s="44"/>
      <c r="D311" s="44"/>
      <c r="E311" s="44"/>
      <c r="F311" s="44"/>
    </row>
    <row r="312" spans="1:6" ht="14.25">
      <c r="A312" s="44"/>
      <c r="B312" s="44"/>
      <c r="C312" s="44"/>
      <c r="D312" s="44"/>
      <c r="E312" s="44"/>
      <c r="F312" s="44"/>
    </row>
    <row r="313" spans="1:6" ht="14.25">
      <c r="A313" s="44"/>
      <c r="B313" s="44"/>
      <c r="C313" s="44"/>
      <c r="D313" s="44"/>
      <c r="E313" s="44"/>
      <c r="F313" s="44"/>
    </row>
    <row r="314" spans="1:6" ht="14.25">
      <c r="A314" s="44"/>
      <c r="B314" s="44"/>
      <c r="C314" s="44"/>
      <c r="D314" s="44"/>
      <c r="E314" s="44"/>
      <c r="F314" s="44"/>
    </row>
    <row r="315" spans="1:6" ht="14.25">
      <c r="A315" s="44"/>
      <c r="B315" s="44"/>
      <c r="C315" s="44"/>
      <c r="D315" s="44"/>
      <c r="E315" s="44"/>
      <c r="F315" s="44"/>
    </row>
    <row r="316" spans="1:6" ht="14.25">
      <c r="A316" s="44"/>
      <c r="B316" s="44"/>
      <c r="C316" s="44"/>
      <c r="D316" s="44"/>
      <c r="E316" s="44"/>
      <c r="F316" s="44"/>
    </row>
    <row r="317" spans="1:6" ht="14.25">
      <c r="A317" s="44"/>
      <c r="B317" s="44"/>
      <c r="C317" s="44"/>
      <c r="D317" s="44"/>
      <c r="E317" s="44"/>
      <c r="F317" s="44"/>
    </row>
    <row r="318" spans="1:6" ht="14.25">
      <c r="A318" s="44"/>
      <c r="B318" s="44"/>
      <c r="C318" s="44"/>
      <c r="D318" s="44"/>
      <c r="E318" s="44"/>
      <c r="F318" s="44"/>
    </row>
    <row r="319" spans="1:6" ht="14.25">
      <c r="A319" s="44"/>
      <c r="B319" s="44"/>
      <c r="C319" s="44"/>
      <c r="D319" s="44"/>
      <c r="E319" s="44"/>
      <c r="F319" s="44"/>
    </row>
    <row r="320" spans="1:6" ht="14.25">
      <c r="A320" s="44"/>
      <c r="B320" s="44"/>
      <c r="C320" s="44"/>
      <c r="D320" s="44"/>
      <c r="E320" s="44"/>
      <c r="F320" s="44"/>
    </row>
    <row r="321" spans="1:6" ht="14.25">
      <c r="A321" s="44"/>
      <c r="B321" s="44"/>
      <c r="C321" s="44"/>
      <c r="D321" s="44"/>
      <c r="E321" s="44"/>
      <c r="F321" s="44"/>
    </row>
    <row r="322" spans="1:6" ht="14.25">
      <c r="A322" s="44"/>
      <c r="B322" s="44"/>
      <c r="C322" s="44"/>
      <c r="D322" s="44"/>
      <c r="E322" s="44"/>
      <c r="F322" s="44"/>
    </row>
    <row r="323" spans="1:6" ht="14.25">
      <c r="A323" s="44"/>
      <c r="B323" s="44"/>
      <c r="C323" s="44"/>
      <c r="D323" s="44"/>
      <c r="E323" s="44"/>
      <c r="F323" s="44"/>
    </row>
    <row r="324" spans="1:6" ht="14.25">
      <c r="A324" s="44"/>
      <c r="B324" s="44"/>
      <c r="C324" s="44"/>
      <c r="D324" s="44"/>
      <c r="E324" s="44"/>
      <c r="F324" s="44"/>
    </row>
    <row r="325" spans="1:6" ht="14.25">
      <c r="A325" s="44"/>
      <c r="B325" s="44"/>
      <c r="C325" s="44"/>
      <c r="D325" s="44"/>
      <c r="E325" s="44"/>
      <c r="F325" s="44"/>
    </row>
    <row r="326" spans="1:6" ht="14.25">
      <c r="A326" s="44"/>
      <c r="B326" s="44"/>
      <c r="C326" s="44"/>
      <c r="D326" s="44"/>
      <c r="E326" s="44"/>
      <c r="F326" s="44"/>
    </row>
    <row r="327" spans="1:6" ht="14.25">
      <c r="A327" s="44"/>
      <c r="B327" s="44"/>
      <c r="C327" s="44"/>
      <c r="D327" s="44"/>
      <c r="E327" s="44"/>
      <c r="F327" s="44"/>
    </row>
    <row r="328" spans="1:6" ht="14.25">
      <c r="A328" s="44"/>
      <c r="B328" s="44"/>
      <c r="C328" s="44"/>
      <c r="D328" s="44"/>
      <c r="E328" s="44"/>
      <c r="F328" s="44"/>
    </row>
    <row r="329" spans="1:6" ht="14.25">
      <c r="A329" s="44"/>
      <c r="B329" s="44"/>
      <c r="C329" s="44"/>
      <c r="D329" s="44"/>
      <c r="E329" s="44"/>
      <c r="F329" s="44"/>
    </row>
    <row r="330" spans="1:6" ht="14.25">
      <c r="A330" s="44"/>
      <c r="B330" s="44"/>
      <c r="C330" s="44"/>
      <c r="D330" s="44"/>
      <c r="E330" s="44"/>
      <c r="F330" s="44"/>
    </row>
    <row r="331" spans="1:6" ht="14.25">
      <c r="A331" s="44"/>
      <c r="B331" s="44"/>
      <c r="C331" s="44"/>
      <c r="D331" s="44"/>
      <c r="E331" s="44"/>
      <c r="F331" s="44"/>
    </row>
    <row r="332" spans="1:6" ht="14.25">
      <c r="A332" s="44"/>
      <c r="B332" s="44"/>
      <c r="C332" s="44"/>
      <c r="D332" s="44"/>
      <c r="E332" s="44"/>
      <c r="F332" s="44"/>
    </row>
  </sheetData>
  <sheetProtection/>
  <hyperlinks>
    <hyperlink ref="E2" r:id="rId1" display="leovarong@yahoo.com"/>
    <hyperlink ref="A6" location="Efectivo!A1" display="Efectivo y equivalentes"/>
    <hyperlink ref="A15" location="Inventarios!A1" display="Inventarios "/>
    <hyperlink ref="A22" location="Inventarios!A1" display="Activos biológicos"/>
    <hyperlink ref="A14" location="Deudores!A1" display="Activos por impuestos corrientes"/>
    <hyperlink ref="A24" location="PPYE!A1" display="Propiedad, planta y equipo"/>
    <hyperlink ref="A25" location="'Otros activos'!A1" display="Intangibles"/>
    <hyperlink ref="A30" location="Pasivos!A1" display="Cuentas por pagar"/>
    <hyperlink ref="A32" location="Pasivos!A1" display="Impuestos por pagar"/>
    <hyperlink ref="A33" location="Pasivos!A1" display="Beneficios a los empleados"/>
    <hyperlink ref="A34" location="Pasivos!A1" display="Obligaciones financieras"/>
    <hyperlink ref="A35" location="Pasivos!A1" display="Pasivo por impuestos corrientes"/>
    <hyperlink ref="A37" location="Pasivos!A1" display="Pasivos por provisiones"/>
    <hyperlink ref="A41" location="Patrimonio!A1" display="Capital suscrito y pagado"/>
    <hyperlink ref="A42" location="Patrimonio!A1" display="Reservas"/>
    <hyperlink ref="A43" location="Patrimonio!A1" display="Utilidad  del ejercicio"/>
    <hyperlink ref="A44" location="Patrimonio!A1" display="Resultados de ejercicios anteriores"/>
    <hyperlink ref="A45" location="Patrimonio!A1" display="Revalorización patrimonio"/>
    <hyperlink ref="A36" location="'Imp diferidos'!A1" display="Pasivos x impuestos diferidos"/>
    <hyperlink ref="A26" location="'Imp diferidos'!A1" display="Activo x impuestos diferidos"/>
    <hyperlink ref="A31" location="Pasivos!A1" display="Proveedores"/>
    <hyperlink ref="A23" location="PPYE!A1" display="Propiedades de inversión"/>
  </hyperlinks>
  <printOptions/>
  <pageMargins left="0.3937007874015748" right="0.3937007874015748" top="0.3937007874015748" bottom="0.3937007874015748" header="0" footer="0"/>
  <pageSetup fitToHeight="1" fitToWidth="1" horizontalDpi="120" verticalDpi="120" orientation="landscape" scale="64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849"/>
  <sheetViews>
    <sheetView showGridLines="0" tabSelected="1" zoomScale="160" zoomScaleNormal="160" zoomScalePageLayoutView="0" workbookViewId="0" topLeftCell="A146">
      <selection activeCell="B149" sqref="B149"/>
    </sheetView>
  </sheetViews>
  <sheetFormatPr defaultColWidth="11.421875" defaultRowHeight="12.75"/>
  <cols>
    <col min="1" max="1" width="47.28125" style="205" customWidth="1"/>
    <col min="2" max="5" width="19.8515625" style="205" customWidth="1"/>
    <col min="6" max="8" width="20.140625" style="205" customWidth="1"/>
    <col min="9" max="16384" width="11.421875" style="205" customWidth="1"/>
  </cols>
  <sheetData>
    <row r="2" spans="1:3" ht="12.75">
      <c r="A2" s="206" t="s">
        <v>392</v>
      </c>
      <c r="B2" s="335" t="s">
        <v>782</v>
      </c>
      <c r="C2" s="335"/>
    </row>
    <row r="3" spans="2:3" ht="12.75">
      <c r="B3" s="311">
        <v>2016</v>
      </c>
      <c r="C3" s="311">
        <v>2015</v>
      </c>
    </row>
    <row r="4" ht="12.75">
      <c r="A4" s="205" t="s">
        <v>798</v>
      </c>
    </row>
    <row r="5" spans="1:3" ht="12.75">
      <c r="A5" s="205" t="s">
        <v>799</v>
      </c>
      <c r="B5" s="360">
        <f>+'Bal prueba 311216'!E5</f>
        <v>271722266.87685394</v>
      </c>
      <c r="C5" s="360">
        <f>+'Bal prueba 311215'!E6</f>
        <v>146757272.93842697</v>
      </c>
    </row>
    <row r="6" spans="1:3" ht="12.75">
      <c r="A6" s="205" t="s">
        <v>623</v>
      </c>
      <c r="B6" s="360">
        <f>+'Bal prueba 311216'!E6</f>
        <v>365524999.54</v>
      </c>
      <c r="C6" s="360">
        <f>+'Bal prueba 311215'!E7</f>
        <v>651525000</v>
      </c>
    </row>
    <row r="7" spans="1:3" ht="12.75">
      <c r="A7" s="205" t="s">
        <v>800</v>
      </c>
      <c r="B7" s="312"/>
      <c r="C7" s="312"/>
    </row>
    <row r="8" spans="1:3" ht="12.75">
      <c r="A8" s="274" t="s">
        <v>801</v>
      </c>
      <c r="B8" s="361">
        <f>SUM(B4:B7)</f>
        <v>637247266.4168539</v>
      </c>
      <c r="C8" s="361">
        <f>SUM(C4:C7)</f>
        <v>798282272.938427</v>
      </c>
    </row>
    <row r="9" spans="1:3" ht="12.75">
      <c r="A9" s="205" t="s">
        <v>802</v>
      </c>
      <c r="B9" s="312">
        <v>0</v>
      </c>
      <c r="C9" s="312">
        <v>0</v>
      </c>
    </row>
    <row r="10" spans="1:3" ht="12.75">
      <c r="A10" s="274" t="s">
        <v>803</v>
      </c>
      <c r="B10" s="361">
        <f>+B8+B9</f>
        <v>637247266.4168539</v>
      </c>
      <c r="C10" s="361">
        <f>+C8+C9</f>
        <v>798282272.938427</v>
      </c>
    </row>
    <row r="14" spans="1:3" ht="12.75">
      <c r="A14" s="206" t="s">
        <v>804</v>
      </c>
      <c r="B14" s="335" t="s">
        <v>782</v>
      </c>
      <c r="C14" s="335"/>
    </row>
    <row r="15" spans="2:3" ht="12.75">
      <c r="B15" s="311">
        <v>2016</v>
      </c>
      <c r="C15" s="311">
        <v>2015</v>
      </c>
    </row>
    <row r="16" spans="1:3" ht="12.75">
      <c r="A16" s="205" t="s">
        <v>805</v>
      </c>
      <c r="B16" s="360">
        <f>+'Bal prueba 311216'!E7</f>
        <v>672990048.0670481</v>
      </c>
      <c r="C16" s="360">
        <f>+'Bal prueba 311215'!E8</f>
        <v>713896614.2984858</v>
      </c>
    </row>
    <row r="17" spans="1:3" ht="12.75">
      <c r="A17" s="205" t="s">
        <v>806</v>
      </c>
      <c r="B17" s="360">
        <f>+'Bal prueba 311216'!E10</f>
        <v>-7.82310962677002E-08</v>
      </c>
      <c r="C17" s="360">
        <f>+'Bal prueba 311215'!E11</f>
        <v>16891891.891891822</v>
      </c>
    </row>
    <row r="18" ht="12.75">
      <c r="A18" s="205" t="s">
        <v>807</v>
      </c>
    </row>
    <row r="19" ht="12.75">
      <c r="A19" s="205" t="s">
        <v>808</v>
      </c>
    </row>
    <row r="20" spans="1:3" ht="12.75">
      <c r="A20" s="205" t="s">
        <v>809</v>
      </c>
      <c r="B20" s="360">
        <f>+'Bal prueba 311216'!E9</f>
        <v>46345000</v>
      </c>
      <c r="C20" s="360">
        <f>+'Bal prueba 311215'!E10</f>
        <v>135000000</v>
      </c>
    </row>
    <row r="21" ht="12.75">
      <c r="A21" s="205" t="s">
        <v>810</v>
      </c>
    </row>
    <row r="22" spans="1:3" ht="12.75">
      <c r="A22" s="205" t="s">
        <v>811</v>
      </c>
      <c r="B22" s="360">
        <f>+'Bal prueba 311216'!E8</f>
        <v>18551452</v>
      </c>
      <c r="C22" s="360">
        <f>+'Bal prueba 311215'!E9</f>
        <v>6551452</v>
      </c>
    </row>
    <row r="23" spans="1:3" ht="12.75">
      <c r="A23" s="205" t="s">
        <v>16</v>
      </c>
      <c r="B23" s="360">
        <f>+'Bal prueba 311216'!E11</f>
        <v>179500000</v>
      </c>
      <c r="C23" s="360">
        <f>+'Bal prueba 311215'!E12</f>
        <v>196000000</v>
      </c>
    </row>
    <row r="24" ht="12.75">
      <c r="A24" s="205" t="s">
        <v>812</v>
      </c>
    </row>
    <row r="25" spans="1:3" ht="12.75">
      <c r="A25" s="205" t="s">
        <v>813</v>
      </c>
      <c r="B25" s="362">
        <f>+'Bal prueba 311216'!E12</f>
        <v>-311818416.87728727</v>
      </c>
      <c r="C25" s="362">
        <f>+'Bal prueba 311215'!E13</f>
        <v>-299318416.87728727</v>
      </c>
    </row>
    <row r="26" spans="1:3" ht="25.5">
      <c r="A26" s="274" t="s">
        <v>814</v>
      </c>
      <c r="B26" s="361">
        <f>SUM(B16:B25)</f>
        <v>605568083.1897607</v>
      </c>
      <c r="C26" s="361">
        <f>SUM(C16:C25)</f>
        <v>769021541.3130903</v>
      </c>
    </row>
    <row r="27" spans="1:3" ht="12.75">
      <c r="A27" s="274"/>
      <c r="B27" s="361"/>
      <c r="C27" s="361"/>
    </row>
    <row r="28" spans="1:3" ht="12.75">
      <c r="A28" s="274"/>
      <c r="B28" s="361"/>
      <c r="C28" s="361"/>
    </row>
    <row r="30" spans="2:3" ht="12.75">
      <c r="B30" s="335" t="s">
        <v>782</v>
      </c>
      <c r="C30" s="335"/>
    </row>
    <row r="31" spans="2:3" ht="12.75">
      <c r="B31" s="311">
        <v>2016</v>
      </c>
      <c r="C31" s="311">
        <v>2015</v>
      </c>
    </row>
    <row r="32" ht="12.75">
      <c r="A32" s="205" t="s">
        <v>815</v>
      </c>
    </row>
    <row r="33" ht="12.75">
      <c r="A33" s="205" t="s">
        <v>816</v>
      </c>
    </row>
    <row r="34" spans="1:3" ht="12.75">
      <c r="A34" s="205" t="s">
        <v>817</v>
      </c>
      <c r="B34" s="312"/>
      <c r="C34" s="312"/>
    </row>
    <row r="35" ht="12.75">
      <c r="A35" s="206" t="s">
        <v>818</v>
      </c>
    </row>
    <row r="38" spans="1:3" ht="12.75">
      <c r="A38" s="205" t="s">
        <v>819</v>
      </c>
      <c r="B38" s="335" t="s">
        <v>782</v>
      </c>
      <c r="C38" s="335"/>
    </row>
    <row r="39" spans="2:3" ht="12.75">
      <c r="B39" s="311">
        <v>2016</v>
      </c>
      <c r="C39" s="311">
        <v>2015</v>
      </c>
    </row>
    <row r="40" spans="1:3" ht="12.75">
      <c r="A40" s="205" t="s">
        <v>820</v>
      </c>
      <c r="B40" s="363">
        <f>+'Bal prueba 311216'!B12</f>
        <v>-299318416.87728727</v>
      </c>
      <c r="C40" s="363">
        <f>+'Bal prueba 311215'!B13</f>
        <v>-245318416.87728727</v>
      </c>
    </row>
    <row r="41" spans="1:3" ht="12.75">
      <c r="A41" s="205" t="s">
        <v>821</v>
      </c>
      <c r="B41" s="363">
        <f>-'Bal prueba 311216'!C77</f>
        <v>-12500000</v>
      </c>
      <c r="C41" s="363">
        <f>-'Bal prueba 311215'!C78</f>
        <v>-54000000</v>
      </c>
    </row>
    <row r="42" spans="1:3" ht="12.75">
      <c r="A42" s="205" t="s">
        <v>822</v>
      </c>
      <c r="B42" s="363"/>
      <c r="C42" s="363"/>
    </row>
    <row r="43" spans="1:3" ht="12.75">
      <c r="A43" s="205" t="s">
        <v>823</v>
      </c>
      <c r="B43" s="364"/>
      <c r="C43" s="364"/>
    </row>
    <row r="44" spans="1:3" ht="12.75">
      <c r="A44" s="206" t="s">
        <v>497</v>
      </c>
      <c r="B44" s="365">
        <f>SUM(B40:B43)</f>
        <v>-311818416.87728727</v>
      </c>
      <c r="C44" s="365">
        <f>SUM(C40:C43)</f>
        <v>-299318416.87728727</v>
      </c>
    </row>
    <row r="46" spans="2:4" ht="12.75">
      <c r="B46" s="367">
        <f>+'Bal prueba 311216'!E12</f>
        <v>-311818416.87728727</v>
      </c>
      <c r="C46" s="367">
        <f>+'Bal prueba 311215'!E13</f>
        <v>-299318416.87728727</v>
      </c>
      <c r="D46" s="366" t="s">
        <v>1116</v>
      </c>
    </row>
    <row r="49" spans="1:3" ht="12.75">
      <c r="A49" s="313" t="s">
        <v>15</v>
      </c>
      <c r="B49" s="335" t="s">
        <v>782</v>
      </c>
      <c r="C49" s="335"/>
    </row>
    <row r="50" spans="2:3" ht="12.75">
      <c r="B50" s="311">
        <v>2016</v>
      </c>
      <c r="C50" s="311">
        <v>2015</v>
      </c>
    </row>
    <row r="51" ht="12.75">
      <c r="A51" s="205" t="s">
        <v>824</v>
      </c>
    </row>
    <row r="52" ht="12.75">
      <c r="A52" s="205" t="s">
        <v>825</v>
      </c>
    </row>
    <row r="53" ht="12.75">
      <c r="A53" s="205" t="s">
        <v>104</v>
      </c>
    </row>
    <row r="54" ht="12.75">
      <c r="A54" s="205" t="s">
        <v>826</v>
      </c>
    </row>
    <row r="55" ht="12.75">
      <c r="A55" s="205" t="s">
        <v>827</v>
      </c>
    </row>
    <row r="56" ht="12.75">
      <c r="A56" s="205" t="s">
        <v>828</v>
      </c>
    </row>
    <row r="57" ht="15.75" customHeight="1">
      <c r="A57" s="205" t="s">
        <v>829</v>
      </c>
    </row>
    <row r="58" spans="1:3" ht="15.75" customHeight="1">
      <c r="A58" s="205" t="s">
        <v>813</v>
      </c>
      <c r="B58" s="312"/>
      <c r="C58" s="312"/>
    </row>
    <row r="59" ht="12.75">
      <c r="A59" s="313" t="s">
        <v>830</v>
      </c>
    </row>
    <row r="60" ht="12.75">
      <c r="A60" s="313"/>
    </row>
    <row r="61" ht="25.5">
      <c r="A61" s="314" t="s">
        <v>831</v>
      </c>
    </row>
    <row r="62" ht="12.75">
      <c r="A62" s="313"/>
    </row>
    <row r="65" spans="1:3" ht="12.75">
      <c r="A65" s="205" t="s">
        <v>832</v>
      </c>
      <c r="B65" s="335" t="s">
        <v>782</v>
      </c>
      <c r="C65" s="335"/>
    </row>
    <row r="66" spans="2:3" ht="12.75">
      <c r="B66" s="311">
        <v>2016</v>
      </c>
      <c r="C66" s="311">
        <v>2015</v>
      </c>
    </row>
    <row r="67" ht="12.75">
      <c r="A67" s="205" t="s">
        <v>820</v>
      </c>
    </row>
    <row r="68" ht="12.75">
      <c r="A68" s="205" t="s">
        <v>821</v>
      </c>
    </row>
    <row r="69" ht="12.75">
      <c r="A69" s="205" t="s">
        <v>822</v>
      </c>
    </row>
    <row r="70" spans="1:3" ht="12.75">
      <c r="A70" s="205" t="s">
        <v>833</v>
      </c>
      <c r="B70" s="312"/>
      <c r="C70" s="312"/>
    </row>
    <row r="71" ht="12.75">
      <c r="A71" s="206" t="s">
        <v>497</v>
      </c>
    </row>
    <row r="79" ht="12.75">
      <c r="A79" s="313" t="s">
        <v>125</v>
      </c>
    </row>
    <row r="81" spans="1:3" ht="12.75">
      <c r="A81" s="205" t="s">
        <v>834</v>
      </c>
      <c r="B81" s="335" t="s">
        <v>782</v>
      </c>
      <c r="C81" s="335"/>
    </row>
    <row r="82" spans="2:3" ht="12.75">
      <c r="B82" s="311">
        <v>2016</v>
      </c>
      <c r="C82" s="311">
        <v>2015</v>
      </c>
    </row>
    <row r="83" spans="1:3" ht="12.75">
      <c r="A83" s="314" t="s">
        <v>820</v>
      </c>
      <c r="B83" s="363">
        <f>+'Bal prueba 311216'!B21</f>
        <v>450000000</v>
      </c>
      <c r="C83" s="363">
        <f>+'Bal prueba 311215'!B22</f>
        <v>337500000</v>
      </c>
    </row>
    <row r="84" spans="1:3" ht="25.5">
      <c r="A84" s="314" t="s">
        <v>835</v>
      </c>
      <c r="B84" s="363">
        <f>+'Bal prueba 311216'!E53</f>
        <v>26000000</v>
      </c>
      <c r="C84" s="363">
        <f>+'Bal prueba 311215'!E54</f>
        <v>34500000</v>
      </c>
    </row>
    <row r="85" spans="1:3" ht="25.5">
      <c r="A85" s="314" t="s">
        <v>836</v>
      </c>
      <c r="B85" s="363">
        <f>-'Flujos indirecto'!C29-B87</f>
        <v>411000000</v>
      </c>
      <c r="C85" s="363">
        <f>-'Flujos indirecto'!D29-C87</f>
        <v>398000000</v>
      </c>
    </row>
    <row r="86" spans="1:3" ht="12.75">
      <c r="A86" s="314" t="s">
        <v>837</v>
      </c>
      <c r="B86" s="363"/>
      <c r="C86" s="363"/>
    </row>
    <row r="87" spans="1:3" ht="12.75">
      <c r="A87" s="314" t="s">
        <v>535</v>
      </c>
      <c r="B87" s="363">
        <f>-'Bal prueba 311216'!E65</f>
        <v>-386000000</v>
      </c>
      <c r="C87" s="363">
        <f>-'Bal prueba 311215'!E66</f>
        <v>-320000000</v>
      </c>
    </row>
    <row r="88" spans="1:3" ht="12.75">
      <c r="A88" s="314" t="s">
        <v>838</v>
      </c>
      <c r="B88" s="363"/>
      <c r="C88" s="363"/>
    </row>
    <row r="89" spans="1:3" ht="25.5">
      <c r="A89" s="314" t="s">
        <v>839</v>
      </c>
      <c r="B89" s="363"/>
      <c r="C89" s="363"/>
    </row>
    <row r="90" spans="1:3" ht="25.5">
      <c r="A90" s="314" t="s">
        <v>840</v>
      </c>
      <c r="B90" s="363"/>
      <c r="C90" s="363"/>
    </row>
    <row r="91" spans="1:3" ht="12.75">
      <c r="A91" s="314" t="s">
        <v>841</v>
      </c>
      <c r="B91" s="364"/>
      <c r="C91" s="364"/>
    </row>
    <row r="92" spans="1:3" ht="12.75">
      <c r="A92" s="313" t="s">
        <v>497</v>
      </c>
      <c r="B92" s="368">
        <f>SUM(B83:B91)</f>
        <v>501000000</v>
      </c>
      <c r="C92" s="368">
        <f>SUM(C83:C91)</f>
        <v>450000000</v>
      </c>
    </row>
    <row r="94" spans="2:4" ht="12.75">
      <c r="B94" s="367">
        <f>+'Bal prueba 311216'!E21</f>
        <v>501000000</v>
      </c>
      <c r="C94" s="367">
        <f>+'Bal prueba 311215'!E22</f>
        <v>450000000</v>
      </c>
      <c r="D94" s="205" t="s">
        <v>1116</v>
      </c>
    </row>
    <row r="96" ht="12.75">
      <c r="A96" s="205" t="s">
        <v>842</v>
      </c>
    </row>
    <row r="98" ht="12.75">
      <c r="A98" s="205" t="s">
        <v>834</v>
      </c>
    </row>
    <row r="99" spans="2:3" ht="25.5">
      <c r="B99" s="315" t="s">
        <v>843</v>
      </c>
      <c r="C99" s="315" t="s">
        <v>630</v>
      </c>
    </row>
    <row r="100" spans="1:3" ht="12.75">
      <c r="A100" s="313" t="s">
        <v>844</v>
      </c>
      <c r="B100" s="312"/>
      <c r="C100" s="312"/>
    </row>
    <row r="101" ht="25.5">
      <c r="A101" s="314" t="s">
        <v>835</v>
      </c>
    </row>
    <row r="102" ht="25.5">
      <c r="A102" s="314" t="s">
        <v>836</v>
      </c>
    </row>
    <row r="103" ht="12.75">
      <c r="A103" s="314" t="s">
        <v>837</v>
      </c>
    </row>
    <row r="104" ht="12.75">
      <c r="A104" s="314" t="s">
        <v>535</v>
      </c>
    </row>
    <row r="105" ht="12.75">
      <c r="A105" s="314" t="s">
        <v>838</v>
      </c>
    </row>
    <row r="106" ht="25.5">
      <c r="A106" s="314" t="s">
        <v>839</v>
      </c>
    </row>
    <row r="107" ht="25.5">
      <c r="A107" s="314" t="s">
        <v>840</v>
      </c>
    </row>
    <row r="108" spans="1:3" ht="12.75">
      <c r="A108" s="314" t="s">
        <v>841</v>
      </c>
      <c r="B108" s="312"/>
      <c r="C108" s="312"/>
    </row>
    <row r="109" ht="12.75">
      <c r="A109" s="313" t="s">
        <v>845</v>
      </c>
    </row>
    <row r="110" ht="25.5">
      <c r="A110" s="314" t="s">
        <v>835</v>
      </c>
    </row>
    <row r="111" ht="25.5">
      <c r="A111" s="314" t="s">
        <v>836</v>
      </c>
    </row>
    <row r="112" ht="12.75">
      <c r="A112" s="314" t="s">
        <v>837</v>
      </c>
    </row>
    <row r="113" ht="12.75">
      <c r="A113" s="314" t="s">
        <v>535</v>
      </c>
    </row>
    <row r="114" ht="12.75">
      <c r="A114" s="314" t="s">
        <v>838</v>
      </c>
    </row>
    <row r="115" ht="25.5">
      <c r="A115" s="314" t="s">
        <v>839</v>
      </c>
    </row>
    <row r="116" ht="25.5">
      <c r="A116" s="314" t="s">
        <v>840</v>
      </c>
    </row>
    <row r="117" spans="1:3" ht="12.75">
      <c r="A117" s="314" t="s">
        <v>841</v>
      </c>
      <c r="B117" s="312"/>
      <c r="C117" s="312"/>
    </row>
    <row r="118" ht="12.75">
      <c r="A118" s="313" t="s">
        <v>846</v>
      </c>
    </row>
    <row r="123" spans="1:3" ht="12.75">
      <c r="A123" s="205" t="s">
        <v>847</v>
      </c>
      <c r="B123" s="335" t="s">
        <v>782</v>
      </c>
      <c r="C123" s="335"/>
    </row>
    <row r="124" spans="2:3" ht="12.75">
      <c r="B124" s="311">
        <v>2016</v>
      </c>
      <c r="C124" s="311">
        <v>2015</v>
      </c>
    </row>
    <row r="125" ht="12.75">
      <c r="A125" s="314" t="s">
        <v>820</v>
      </c>
    </row>
    <row r="126" ht="12.75">
      <c r="A126" s="314" t="s">
        <v>848</v>
      </c>
    </row>
    <row r="127" ht="12.75">
      <c r="A127" s="314" t="s">
        <v>837</v>
      </c>
    </row>
    <row r="128" ht="12.75">
      <c r="A128" s="314" t="s">
        <v>849</v>
      </c>
    </row>
    <row r="129" ht="12.75">
      <c r="A129" s="314" t="s">
        <v>8</v>
      </c>
    </row>
    <row r="130" ht="12.75">
      <c r="A130" s="314" t="s">
        <v>535</v>
      </c>
    </row>
    <row r="131" ht="12.75">
      <c r="A131" s="314" t="s">
        <v>838</v>
      </c>
    </row>
    <row r="132" ht="25.5">
      <c r="A132" s="314" t="s">
        <v>840</v>
      </c>
    </row>
    <row r="133" spans="1:3" ht="12.75">
      <c r="A133" s="314" t="s">
        <v>841</v>
      </c>
      <c r="B133" s="312"/>
      <c r="C133" s="312"/>
    </row>
    <row r="134" ht="12.75">
      <c r="A134" s="313" t="s">
        <v>497</v>
      </c>
    </row>
    <row r="136" spans="2:3" ht="12.75">
      <c r="B136" s="335" t="s">
        <v>782</v>
      </c>
      <c r="C136" s="335"/>
    </row>
    <row r="137" spans="2:3" ht="12.75">
      <c r="B137" s="311">
        <v>2016</v>
      </c>
      <c r="C137" s="311">
        <v>2015</v>
      </c>
    </row>
    <row r="138" ht="12.75">
      <c r="A138" s="205" t="s">
        <v>815</v>
      </c>
    </row>
    <row r="139" ht="12.75">
      <c r="A139" s="205" t="s">
        <v>816</v>
      </c>
    </row>
    <row r="140" spans="1:3" ht="12.75">
      <c r="A140" s="205" t="s">
        <v>817</v>
      </c>
      <c r="B140" s="312"/>
      <c r="C140" s="312"/>
    </row>
    <row r="141" ht="12.75">
      <c r="A141" s="206" t="s">
        <v>818</v>
      </c>
    </row>
    <row r="145" ht="25.5">
      <c r="A145" s="313" t="s">
        <v>850</v>
      </c>
    </row>
    <row r="146" spans="2:3" ht="12.75">
      <c r="B146" s="316"/>
      <c r="C146" s="316"/>
    </row>
    <row r="148" spans="2:4" ht="12.75">
      <c r="B148" s="317" t="s">
        <v>851</v>
      </c>
      <c r="C148" s="317" t="s">
        <v>852</v>
      </c>
      <c r="D148" s="317" t="s">
        <v>853</v>
      </c>
    </row>
    <row r="149" ht="12.75">
      <c r="A149" s="301" t="s">
        <v>491</v>
      </c>
    </row>
    <row r="150" ht="12.75">
      <c r="A150" s="301" t="s">
        <v>388</v>
      </c>
    </row>
    <row r="151" ht="12.75">
      <c r="A151" s="301" t="s">
        <v>854</v>
      </c>
    </row>
    <row r="152" ht="12.75">
      <c r="A152" s="301" t="s">
        <v>707</v>
      </c>
    </row>
    <row r="153" ht="12.75">
      <c r="A153" s="301" t="s">
        <v>855</v>
      </c>
    </row>
    <row r="154" ht="12.75">
      <c r="A154" s="301" t="s">
        <v>813</v>
      </c>
    </row>
    <row r="155" ht="12.75">
      <c r="A155" s="301" t="s">
        <v>533</v>
      </c>
    </row>
    <row r="156" spans="1:4" ht="12.75">
      <c r="A156" s="301" t="s">
        <v>856</v>
      </c>
      <c r="B156" s="312"/>
      <c r="C156" s="312"/>
      <c r="D156" s="312"/>
    </row>
    <row r="157" ht="12.75">
      <c r="A157" s="274" t="s">
        <v>857</v>
      </c>
    </row>
    <row r="158" ht="12.75">
      <c r="A158" s="301" t="s">
        <v>388</v>
      </c>
    </row>
    <row r="159" ht="12.75">
      <c r="A159" s="301" t="s">
        <v>854</v>
      </c>
    </row>
    <row r="160" ht="12.75">
      <c r="A160" s="301" t="s">
        <v>707</v>
      </c>
    </row>
    <row r="161" ht="12.75">
      <c r="A161" s="301" t="s">
        <v>855</v>
      </c>
    </row>
    <row r="162" ht="12.75">
      <c r="A162" s="301" t="s">
        <v>813</v>
      </c>
    </row>
    <row r="163" ht="12.75">
      <c r="A163" s="301" t="s">
        <v>533</v>
      </c>
    </row>
    <row r="164" spans="1:4" ht="12.75">
      <c r="A164" s="301" t="s">
        <v>856</v>
      </c>
      <c r="B164" s="312"/>
      <c r="C164" s="312"/>
      <c r="D164" s="312"/>
    </row>
    <row r="165" ht="12.75">
      <c r="A165" s="274" t="s">
        <v>858</v>
      </c>
    </row>
    <row r="169" ht="51">
      <c r="A169" s="314" t="s">
        <v>859</v>
      </c>
    </row>
    <row r="170" spans="1:4" ht="12.75">
      <c r="A170" s="274" t="s">
        <v>858</v>
      </c>
      <c r="B170" s="317" t="s">
        <v>851</v>
      </c>
      <c r="C170" s="317" t="s">
        <v>852</v>
      </c>
      <c r="D170" s="317" t="s">
        <v>853</v>
      </c>
    </row>
    <row r="171" ht="12.75">
      <c r="A171" s="205" t="s">
        <v>816</v>
      </c>
    </row>
    <row r="172" ht="12.75">
      <c r="A172" s="205" t="s">
        <v>817</v>
      </c>
    </row>
    <row r="173" ht="12.75">
      <c r="A173" s="205" t="s">
        <v>860</v>
      </c>
    </row>
    <row r="174" spans="1:4" ht="12.75">
      <c r="A174" s="205" t="s">
        <v>861</v>
      </c>
      <c r="B174" s="312"/>
      <c r="C174" s="312"/>
      <c r="D174" s="312"/>
    </row>
    <row r="175" ht="12.75">
      <c r="A175" s="205" t="s">
        <v>28</v>
      </c>
    </row>
    <row r="176" spans="1:4" ht="12.75">
      <c r="A176" s="205" t="s">
        <v>862</v>
      </c>
      <c r="B176" s="312"/>
      <c r="C176" s="312"/>
      <c r="D176" s="312"/>
    </row>
    <row r="177" ht="12.75">
      <c r="A177" s="205" t="s">
        <v>863</v>
      </c>
    </row>
    <row r="179" ht="12.75">
      <c r="A179" s="205" t="s">
        <v>864</v>
      </c>
    </row>
    <row r="180" spans="1:4" ht="12.75">
      <c r="A180" s="205" t="s">
        <v>865</v>
      </c>
      <c r="B180" s="312"/>
      <c r="C180" s="312"/>
      <c r="D180" s="312"/>
    </row>
    <row r="181" spans="1:4" ht="12.75">
      <c r="A181" s="205" t="s">
        <v>663</v>
      </c>
      <c r="B181" s="318"/>
      <c r="C181" s="318"/>
      <c r="D181" s="318"/>
    </row>
    <row r="182" ht="12.75">
      <c r="A182" s="205" t="s">
        <v>866</v>
      </c>
    </row>
    <row r="194" ht="12.75">
      <c r="A194" s="313" t="s">
        <v>639</v>
      </c>
    </row>
    <row r="195" spans="2:5" ht="46.5" customHeight="1">
      <c r="B195" s="317" t="s">
        <v>867</v>
      </c>
      <c r="C195" s="317" t="s">
        <v>868</v>
      </c>
      <c r="D195" s="317" t="s">
        <v>869</v>
      </c>
      <c r="E195" s="317" t="s">
        <v>83</v>
      </c>
    </row>
    <row r="196" ht="12.75">
      <c r="A196" s="206" t="s">
        <v>870</v>
      </c>
    </row>
    <row r="197" ht="12.75">
      <c r="A197" s="205" t="s">
        <v>491</v>
      </c>
    </row>
    <row r="198" ht="12.75">
      <c r="A198" s="205" t="s">
        <v>871</v>
      </c>
    </row>
    <row r="199" ht="12.75">
      <c r="A199" s="205" t="s">
        <v>872</v>
      </c>
    </row>
    <row r="200" spans="1:5" ht="12.75">
      <c r="A200" s="205" t="s">
        <v>857</v>
      </c>
      <c r="B200" s="318"/>
      <c r="C200" s="318"/>
      <c r="D200" s="318"/>
      <c r="E200" s="318"/>
    </row>
    <row r="202" ht="12.75">
      <c r="A202" s="206" t="s">
        <v>873</v>
      </c>
    </row>
    <row r="203" ht="12.75">
      <c r="A203" s="205" t="s">
        <v>491</v>
      </c>
    </row>
    <row r="204" ht="12.75">
      <c r="A204" s="205" t="s">
        <v>874</v>
      </c>
    </row>
    <row r="205" ht="12.75">
      <c r="A205" s="205" t="s">
        <v>813</v>
      </c>
    </row>
    <row r="206" ht="12.75">
      <c r="A206" s="205" t="s">
        <v>872</v>
      </c>
    </row>
    <row r="207" spans="1:5" ht="12.75">
      <c r="A207" s="205" t="s">
        <v>857</v>
      </c>
      <c r="B207" s="318"/>
      <c r="C207" s="318"/>
      <c r="D207" s="318"/>
      <c r="E207" s="318"/>
    </row>
    <row r="209" ht="12.75">
      <c r="A209" s="206" t="s">
        <v>408</v>
      </c>
    </row>
    <row r="210" spans="1:5" ht="13.5" thickBot="1">
      <c r="A210" s="205" t="s">
        <v>857</v>
      </c>
      <c r="B210" s="319"/>
      <c r="C210" s="319"/>
      <c r="D210" s="319"/>
      <c r="E210" s="319"/>
    </row>
    <row r="211" ht="13.5" thickTop="1"/>
    <row r="214" spans="2:5" ht="38.25">
      <c r="B214" s="317" t="s">
        <v>867</v>
      </c>
      <c r="C214" s="317" t="s">
        <v>868</v>
      </c>
      <c r="D214" s="317" t="s">
        <v>869</v>
      </c>
      <c r="E214" s="317" t="s">
        <v>83</v>
      </c>
    </row>
    <row r="215" ht="12.75">
      <c r="A215" s="206" t="s">
        <v>870</v>
      </c>
    </row>
    <row r="216" ht="12.75">
      <c r="A216" s="205" t="s">
        <v>875</v>
      </c>
    </row>
    <row r="217" ht="12.75">
      <c r="A217" s="205" t="s">
        <v>871</v>
      </c>
    </row>
    <row r="218" ht="12.75">
      <c r="A218" s="205" t="s">
        <v>872</v>
      </c>
    </row>
    <row r="219" spans="1:5" ht="12.75">
      <c r="A219" s="205" t="s">
        <v>858</v>
      </c>
      <c r="B219" s="318"/>
      <c r="C219" s="318"/>
      <c r="D219" s="318"/>
      <c r="E219" s="318"/>
    </row>
    <row r="221" ht="12.75">
      <c r="A221" s="206" t="s">
        <v>873</v>
      </c>
    </row>
    <row r="222" ht="12.75">
      <c r="A222" s="205" t="s">
        <v>875</v>
      </c>
    </row>
    <row r="223" ht="12.75">
      <c r="A223" s="205" t="s">
        <v>874</v>
      </c>
    </row>
    <row r="224" ht="12.75">
      <c r="A224" s="205" t="s">
        <v>813</v>
      </c>
    </row>
    <row r="225" ht="12.75">
      <c r="A225" s="205" t="s">
        <v>872</v>
      </c>
    </row>
    <row r="226" spans="1:5" ht="12.75">
      <c r="A226" s="205" t="s">
        <v>858</v>
      </c>
      <c r="B226" s="318"/>
      <c r="C226" s="318"/>
      <c r="D226" s="318"/>
      <c r="E226" s="318"/>
    </row>
    <row r="228" ht="12.75">
      <c r="A228" s="206" t="s">
        <v>408</v>
      </c>
    </row>
    <row r="229" spans="1:5" ht="13.5" thickBot="1">
      <c r="A229" s="205" t="s">
        <v>858</v>
      </c>
      <c r="B229" s="319"/>
      <c r="C229" s="319"/>
      <c r="D229" s="319"/>
      <c r="E229" s="319"/>
    </row>
    <row r="230" ht="13.5" thickTop="1"/>
    <row r="236" ht="12.75">
      <c r="A236" s="313" t="s">
        <v>876</v>
      </c>
    </row>
    <row r="238" spans="2:5" ht="25.5">
      <c r="B238" s="317" t="s">
        <v>877</v>
      </c>
      <c r="C238" s="317" t="s">
        <v>878</v>
      </c>
      <c r="D238" s="317" t="s">
        <v>879</v>
      </c>
      <c r="E238" s="317" t="s">
        <v>83</v>
      </c>
    </row>
    <row r="239" ht="12.75">
      <c r="A239" s="206" t="s">
        <v>870</v>
      </c>
    </row>
    <row r="240" ht="12.75">
      <c r="A240" s="205" t="s">
        <v>491</v>
      </c>
    </row>
    <row r="241" ht="12.75">
      <c r="A241" s="205" t="s">
        <v>871</v>
      </c>
    </row>
    <row r="242" ht="12.75">
      <c r="A242" s="205" t="s">
        <v>872</v>
      </c>
    </row>
    <row r="243" spans="1:5" ht="12.75">
      <c r="A243" s="205" t="s">
        <v>857</v>
      </c>
      <c r="B243" s="318"/>
      <c r="C243" s="318"/>
      <c r="D243" s="318"/>
      <c r="E243" s="318"/>
    </row>
    <row r="245" ht="12.75">
      <c r="A245" s="206" t="s">
        <v>880</v>
      </c>
    </row>
    <row r="246" ht="12.75">
      <c r="A246" s="205" t="s">
        <v>491</v>
      </c>
    </row>
    <row r="247" ht="12.75">
      <c r="A247" s="314" t="s">
        <v>881</v>
      </c>
    </row>
    <row r="248" ht="12.75">
      <c r="A248" s="205" t="s">
        <v>813</v>
      </c>
    </row>
    <row r="249" ht="12.75">
      <c r="A249" s="205" t="s">
        <v>872</v>
      </c>
    </row>
    <row r="250" spans="1:5" ht="12.75">
      <c r="A250" s="205" t="s">
        <v>857</v>
      </c>
      <c r="B250" s="318"/>
      <c r="C250" s="318"/>
      <c r="D250" s="318"/>
      <c r="E250" s="318"/>
    </row>
    <row r="252" ht="12.75">
      <c r="A252" s="206" t="s">
        <v>408</v>
      </c>
    </row>
    <row r="253" spans="1:5" ht="13.5" thickBot="1">
      <c r="A253" s="205" t="s">
        <v>857</v>
      </c>
      <c r="B253" s="319"/>
      <c r="C253" s="319"/>
      <c r="D253" s="319"/>
      <c r="E253" s="319"/>
    </row>
    <row r="254" ht="13.5" thickTop="1"/>
    <row r="258" spans="2:5" ht="25.5">
      <c r="B258" s="317" t="s">
        <v>877</v>
      </c>
      <c r="C258" s="317" t="s">
        <v>878</v>
      </c>
      <c r="D258" s="317" t="s">
        <v>879</v>
      </c>
      <c r="E258" s="317" t="s">
        <v>83</v>
      </c>
    </row>
    <row r="259" ht="12.75">
      <c r="A259" s="206" t="s">
        <v>870</v>
      </c>
    </row>
    <row r="260" ht="12.75">
      <c r="A260" s="205" t="s">
        <v>875</v>
      </c>
    </row>
    <row r="261" ht="12.75">
      <c r="A261" s="205" t="s">
        <v>871</v>
      </c>
    </row>
    <row r="262" ht="12.75">
      <c r="A262" s="205" t="s">
        <v>872</v>
      </c>
    </row>
    <row r="263" spans="1:5" ht="12.75">
      <c r="A263" s="205" t="s">
        <v>858</v>
      </c>
      <c r="B263" s="318"/>
      <c r="C263" s="318"/>
      <c r="D263" s="318"/>
      <c r="E263" s="318"/>
    </row>
    <row r="265" ht="12.75">
      <c r="A265" s="206" t="s">
        <v>880</v>
      </c>
    </row>
    <row r="266" ht="12.75">
      <c r="A266" s="205" t="s">
        <v>875</v>
      </c>
    </row>
    <row r="267" ht="12.75">
      <c r="A267" s="205" t="s">
        <v>881</v>
      </c>
    </row>
    <row r="268" ht="12.75">
      <c r="A268" s="205" t="s">
        <v>813</v>
      </c>
    </row>
    <row r="269" ht="12.75">
      <c r="A269" s="205" t="s">
        <v>872</v>
      </c>
    </row>
    <row r="270" spans="1:5" ht="12.75">
      <c r="A270" s="205" t="s">
        <v>858</v>
      </c>
      <c r="B270" s="318"/>
      <c r="C270" s="318"/>
      <c r="D270" s="318"/>
      <c r="E270" s="318"/>
    </row>
    <row r="272" ht="12.75">
      <c r="A272" s="206" t="s">
        <v>408</v>
      </c>
    </row>
    <row r="273" spans="1:5" ht="13.5" thickBot="1">
      <c r="A273" s="205" t="s">
        <v>858</v>
      </c>
      <c r="B273" s="319"/>
      <c r="C273" s="319"/>
      <c r="D273" s="319"/>
      <c r="E273" s="319"/>
    </row>
    <row r="274" ht="13.5" thickTop="1"/>
    <row r="279" spans="1:3" ht="12.75">
      <c r="A279" s="313" t="s">
        <v>640</v>
      </c>
      <c r="B279" s="335" t="s">
        <v>782</v>
      </c>
      <c r="C279" s="335"/>
    </row>
    <row r="280" spans="2:3" ht="12.75">
      <c r="B280" s="311">
        <v>2016</v>
      </c>
      <c r="C280" s="311">
        <v>2015</v>
      </c>
    </row>
    <row r="281" ht="12.75">
      <c r="A281" s="205" t="s">
        <v>820</v>
      </c>
    </row>
    <row r="282" ht="12.75">
      <c r="A282" s="205" t="s">
        <v>871</v>
      </c>
    </row>
    <row r="283" ht="12.75">
      <c r="A283" s="205" t="s">
        <v>882</v>
      </c>
    </row>
    <row r="284" ht="12.75">
      <c r="A284" s="205" t="s">
        <v>856</v>
      </c>
    </row>
    <row r="285" spans="1:3" ht="12.75">
      <c r="A285" s="205" t="s">
        <v>535</v>
      </c>
      <c r="B285" s="312"/>
      <c r="C285" s="312"/>
    </row>
    <row r="286" ht="12.75">
      <c r="A286" s="206" t="s">
        <v>497</v>
      </c>
    </row>
    <row r="292" spans="1:3" ht="12.75">
      <c r="A292" s="313" t="s">
        <v>773</v>
      </c>
      <c r="B292" s="335" t="s">
        <v>782</v>
      </c>
      <c r="C292" s="335"/>
    </row>
    <row r="293" spans="1:3" ht="12.75">
      <c r="A293" s="313"/>
      <c r="B293" s="311">
        <v>2016</v>
      </c>
      <c r="C293" s="311">
        <v>2015</v>
      </c>
    </row>
    <row r="294" ht="12.75">
      <c r="A294" s="314" t="s">
        <v>883</v>
      </c>
    </row>
    <row r="295" ht="12.75">
      <c r="A295" s="314" t="s">
        <v>884</v>
      </c>
    </row>
    <row r="296" ht="12.75">
      <c r="A296" s="314" t="s">
        <v>885</v>
      </c>
    </row>
    <row r="297" spans="1:3" ht="12.75">
      <c r="A297" s="314" t="s">
        <v>886</v>
      </c>
      <c r="B297" s="312"/>
      <c r="C297" s="312"/>
    </row>
    <row r="298" spans="1:3" ht="12.75">
      <c r="A298" s="313" t="s">
        <v>887</v>
      </c>
      <c r="B298" s="206"/>
      <c r="C298" s="206"/>
    </row>
    <row r="299" ht="12.75">
      <c r="A299" s="314"/>
    </row>
    <row r="300" spans="1:3" ht="12.75">
      <c r="A300" s="314"/>
      <c r="B300" s="335" t="s">
        <v>782</v>
      </c>
      <c r="C300" s="335"/>
    </row>
    <row r="301" spans="2:3" ht="12.75">
      <c r="B301" s="311">
        <v>2016</v>
      </c>
      <c r="C301" s="311">
        <v>2015</v>
      </c>
    </row>
    <row r="302" ht="12.75">
      <c r="A302" s="205" t="s">
        <v>815</v>
      </c>
    </row>
    <row r="303" ht="12.75">
      <c r="A303" s="205" t="s">
        <v>816</v>
      </c>
    </row>
    <row r="304" spans="1:3" ht="12.75">
      <c r="A304" s="205" t="s">
        <v>817</v>
      </c>
      <c r="B304" s="312"/>
      <c r="C304" s="312"/>
    </row>
    <row r="305" ht="12.75">
      <c r="A305" s="206" t="s">
        <v>818</v>
      </c>
    </row>
    <row r="306" ht="12.75">
      <c r="A306" s="314"/>
    </row>
    <row r="310" ht="12.75">
      <c r="A310" s="313" t="s">
        <v>888</v>
      </c>
    </row>
    <row r="312" spans="2:3" ht="12.75">
      <c r="B312" s="335" t="s">
        <v>782</v>
      </c>
      <c r="C312" s="335"/>
    </row>
    <row r="313" spans="1:3" ht="12.75">
      <c r="A313" s="313"/>
      <c r="B313" s="311">
        <v>2016</v>
      </c>
      <c r="C313" s="311">
        <v>2015</v>
      </c>
    </row>
    <row r="314" ht="12.75">
      <c r="A314" s="314" t="s">
        <v>889</v>
      </c>
    </row>
    <row r="315" spans="1:3" ht="12.75">
      <c r="A315" s="314" t="s">
        <v>890</v>
      </c>
      <c r="B315" s="312"/>
      <c r="C315" s="312"/>
    </row>
    <row r="316" spans="1:3" ht="12.75">
      <c r="A316" s="313" t="s">
        <v>891</v>
      </c>
      <c r="B316" s="206"/>
      <c r="C316" s="206"/>
    </row>
    <row r="321" spans="1:3" ht="12.75">
      <c r="A321" s="313" t="s">
        <v>774</v>
      </c>
      <c r="B321" s="335" t="s">
        <v>782</v>
      </c>
      <c r="C321" s="335"/>
    </row>
    <row r="322" spans="2:3" ht="12.75">
      <c r="B322" s="311">
        <v>2016</v>
      </c>
      <c r="C322" s="311">
        <v>2015</v>
      </c>
    </row>
    <row r="323" ht="12.75">
      <c r="A323" s="205" t="s">
        <v>802</v>
      </c>
    </row>
    <row r="324" ht="12.75">
      <c r="A324" s="301" t="s">
        <v>892</v>
      </c>
    </row>
    <row r="325" ht="12.75">
      <c r="A325" s="205" t="s">
        <v>893</v>
      </c>
    </row>
    <row r="326" spans="1:3" ht="12.75">
      <c r="A326" s="206" t="s">
        <v>894</v>
      </c>
      <c r="B326" s="206"/>
      <c r="C326" s="206"/>
    </row>
    <row r="328" spans="2:3" ht="12.75">
      <c r="B328" s="335" t="s">
        <v>782</v>
      </c>
      <c r="C328" s="335"/>
    </row>
    <row r="329" spans="2:3" ht="12.75">
      <c r="B329" s="311">
        <v>2016</v>
      </c>
      <c r="C329" s="311">
        <v>2015</v>
      </c>
    </row>
    <row r="330" ht="12.75">
      <c r="A330" s="205" t="s">
        <v>895</v>
      </c>
    </row>
    <row r="331" ht="12.75">
      <c r="A331" s="205" t="s">
        <v>860</v>
      </c>
    </row>
    <row r="332" spans="1:3" ht="12.75">
      <c r="A332" s="205" t="s">
        <v>861</v>
      </c>
      <c r="B332" s="312"/>
      <c r="C332" s="312"/>
    </row>
    <row r="333" ht="12.75">
      <c r="A333" s="206" t="s">
        <v>818</v>
      </c>
    </row>
    <row r="334" ht="12.75">
      <c r="A334" s="206"/>
    </row>
    <row r="335" ht="12.75">
      <c r="A335" s="206"/>
    </row>
    <row r="336" ht="12.75">
      <c r="A336" s="205" t="s">
        <v>896</v>
      </c>
    </row>
    <row r="337" ht="12.75">
      <c r="A337" s="205" t="s">
        <v>897</v>
      </c>
    </row>
    <row r="338" ht="12.75">
      <c r="A338" s="205" t="s">
        <v>898</v>
      </c>
    </row>
    <row r="339" ht="12.75">
      <c r="A339" s="205" t="s">
        <v>899</v>
      </c>
    </row>
    <row r="343" spans="1:3" ht="25.5">
      <c r="A343" s="313" t="s">
        <v>900</v>
      </c>
      <c r="B343" s="335" t="s">
        <v>782</v>
      </c>
      <c r="C343" s="335"/>
    </row>
    <row r="344" spans="2:3" ht="12.75">
      <c r="B344" s="311">
        <v>2016</v>
      </c>
      <c r="C344" s="311">
        <v>2015</v>
      </c>
    </row>
    <row r="345" ht="12.75">
      <c r="A345" s="205" t="s">
        <v>901</v>
      </c>
    </row>
    <row r="346" ht="12.75">
      <c r="A346" s="205" t="s">
        <v>902</v>
      </c>
    </row>
    <row r="347" ht="12.75">
      <c r="A347" s="205" t="s">
        <v>903</v>
      </c>
    </row>
    <row r="348" ht="12.75">
      <c r="A348" s="205" t="s">
        <v>904</v>
      </c>
    </row>
    <row r="349" ht="12.75">
      <c r="A349" s="205" t="s">
        <v>905</v>
      </c>
    </row>
    <row r="350" ht="12.75">
      <c r="A350" s="205" t="s">
        <v>906</v>
      </c>
    </row>
    <row r="351" spans="1:3" ht="12.75">
      <c r="A351" s="205" t="s">
        <v>907</v>
      </c>
      <c r="B351" s="312"/>
      <c r="C351" s="312"/>
    </row>
    <row r="352" ht="25.5">
      <c r="A352" s="313" t="s">
        <v>908</v>
      </c>
    </row>
    <row r="354" spans="2:3" ht="12.75">
      <c r="B354" s="335" t="s">
        <v>782</v>
      </c>
      <c r="C354" s="335"/>
    </row>
    <row r="355" spans="2:3" ht="12.75">
      <c r="B355" s="311">
        <v>2016</v>
      </c>
      <c r="C355" s="311">
        <v>2015</v>
      </c>
    </row>
    <row r="356" ht="12.75">
      <c r="A356" s="205" t="s">
        <v>895</v>
      </c>
    </row>
    <row r="357" ht="12.75">
      <c r="A357" s="205" t="s">
        <v>860</v>
      </c>
    </row>
    <row r="358" spans="1:3" ht="12.75">
      <c r="A358" s="205" t="s">
        <v>861</v>
      </c>
      <c r="B358" s="312"/>
      <c r="C358" s="312"/>
    </row>
    <row r="359" ht="12.75">
      <c r="A359" s="206" t="s">
        <v>818</v>
      </c>
    </row>
    <row r="363" spans="1:3" ht="12.75">
      <c r="A363" s="313" t="s">
        <v>909</v>
      </c>
      <c r="B363" s="335" t="s">
        <v>782</v>
      </c>
      <c r="C363" s="335"/>
    </row>
    <row r="364" spans="2:3" ht="12.75">
      <c r="B364" s="311">
        <v>2016</v>
      </c>
      <c r="C364" s="311">
        <v>2015</v>
      </c>
    </row>
    <row r="365" spans="1:3" ht="12.75">
      <c r="A365" s="205" t="s">
        <v>910</v>
      </c>
      <c r="B365" s="316"/>
      <c r="C365" s="316"/>
    </row>
    <row r="366" spans="1:3" ht="12.75">
      <c r="A366" s="205" t="s">
        <v>911</v>
      </c>
      <c r="B366" s="316"/>
      <c r="C366" s="316"/>
    </row>
    <row r="367" spans="1:3" ht="12.75">
      <c r="A367" s="205" t="s">
        <v>912</v>
      </c>
      <c r="B367" s="316"/>
      <c r="C367" s="316"/>
    </row>
    <row r="368" spans="1:3" ht="12.75">
      <c r="A368" s="205" t="s">
        <v>913</v>
      </c>
      <c r="B368" s="316"/>
      <c r="C368" s="316"/>
    </row>
    <row r="369" spans="1:3" ht="12.75">
      <c r="A369" s="205" t="s">
        <v>914</v>
      </c>
      <c r="B369" s="316"/>
      <c r="C369" s="316"/>
    </row>
    <row r="370" spans="1:3" ht="25.5">
      <c r="A370" s="314" t="s">
        <v>915</v>
      </c>
      <c r="B370" s="316"/>
      <c r="C370" s="316"/>
    </row>
    <row r="371" spans="1:3" ht="12.75">
      <c r="A371" s="205" t="s">
        <v>916</v>
      </c>
      <c r="B371" s="320"/>
      <c r="C371" s="320"/>
    </row>
    <row r="372" spans="1:3" ht="12.75">
      <c r="A372" s="206" t="s">
        <v>917</v>
      </c>
      <c r="B372" s="316"/>
      <c r="C372" s="316"/>
    </row>
    <row r="373" spans="2:3" ht="12.75">
      <c r="B373" s="316"/>
      <c r="C373" s="316"/>
    </row>
    <row r="374" spans="2:3" ht="12.75">
      <c r="B374" s="335" t="s">
        <v>782</v>
      </c>
      <c r="C374" s="335"/>
    </row>
    <row r="375" spans="2:3" ht="12.75">
      <c r="B375" s="311">
        <v>2016</v>
      </c>
      <c r="C375" s="311">
        <v>2015</v>
      </c>
    </row>
    <row r="376" ht="12.75">
      <c r="A376" s="205" t="s">
        <v>895</v>
      </c>
    </row>
    <row r="377" ht="12.75">
      <c r="A377" s="205" t="s">
        <v>860</v>
      </c>
    </row>
    <row r="378" spans="1:3" ht="12.75">
      <c r="A378" s="205" t="s">
        <v>861</v>
      </c>
      <c r="B378" s="312"/>
      <c r="C378" s="312"/>
    </row>
    <row r="379" ht="12.75">
      <c r="A379" s="206" t="s">
        <v>818</v>
      </c>
    </row>
    <row r="380" spans="2:3" ht="12.75">
      <c r="B380" s="316"/>
      <c r="C380" s="316"/>
    </row>
    <row r="381" spans="2:3" ht="12.75">
      <c r="B381" s="335" t="s">
        <v>782</v>
      </c>
      <c r="C381" s="335"/>
    </row>
    <row r="382" spans="2:3" ht="12.75">
      <c r="B382" s="311">
        <v>2016</v>
      </c>
      <c r="C382" s="311">
        <v>2015</v>
      </c>
    </row>
    <row r="383" ht="12.75">
      <c r="A383" s="205" t="s">
        <v>820</v>
      </c>
    </row>
    <row r="384" ht="12.75">
      <c r="A384" s="205" t="s">
        <v>918</v>
      </c>
    </row>
    <row r="385" ht="25.5">
      <c r="A385" s="314" t="s">
        <v>919</v>
      </c>
    </row>
    <row r="386" ht="12.75">
      <c r="A386" s="205" t="s">
        <v>920</v>
      </c>
    </row>
    <row r="387" spans="1:3" ht="12.75">
      <c r="A387" s="205" t="s">
        <v>921</v>
      </c>
      <c r="B387" s="312"/>
      <c r="C387" s="312"/>
    </row>
    <row r="388" ht="12.75">
      <c r="A388" s="206" t="s">
        <v>497</v>
      </c>
    </row>
    <row r="391" ht="12.75">
      <c r="A391" s="206" t="s">
        <v>892</v>
      </c>
    </row>
    <row r="392" ht="12.75">
      <c r="A392" s="206"/>
    </row>
    <row r="393" spans="1:3" ht="25.5">
      <c r="A393" s="301" t="s">
        <v>922</v>
      </c>
      <c r="B393" s="335" t="s">
        <v>782</v>
      </c>
      <c r="C393" s="335"/>
    </row>
    <row r="394" spans="1:3" ht="12.75">
      <c r="A394" s="206"/>
      <c r="B394" s="311">
        <v>2016</v>
      </c>
      <c r="C394" s="311">
        <v>2015</v>
      </c>
    </row>
    <row r="395" ht="12.75">
      <c r="A395" s="205" t="s">
        <v>23</v>
      </c>
    </row>
    <row r="396" ht="12.75">
      <c r="A396" s="205" t="s">
        <v>87</v>
      </c>
    </row>
    <row r="397" spans="1:3" ht="12.75">
      <c r="A397" s="205" t="s">
        <v>19</v>
      </c>
      <c r="B397" s="312"/>
      <c r="C397" s="312"/>
    </row>
    <row r="398" ht="25.5">
      <c r="A398" s="313" t="s">
        <v>923</v>
      </c>
    </row>
    <row r="399" ht="12.75">
      <c r="A399" s="206"/>
    </row>
    <row r="400" ht="12.75">
      <c r="A400" s="206"/>
    </row>
    <row r="401" spans="1:3" ht="12.75">
      <c r="A401" s="205" t="s">
        <v>924</v>
      </c>
      <c r="B401" s="335" t="s">
        <v>782</v>
      </c>
      <c r="C401" s="335"/>
    </row>
    <row r="402" spans="2:3" ht="12.75">
      <c r="B402" s="311">
        <v>2016</v>
      </c>
      <c r="C402" s="311">
        <v>2015</v>
      </c>
    </row>
    <row r="403" ht="12.75">
      <c r="A403" s="205" t="s">
        <v>925</v>
      </c>
    </row>
    <row r="404" ht="12.75">
      <c r="A404" s="205" t="s">
        <v>926</v>
      </c>
    </row>
    <row r="405" spans="1:3" ht="12.75">
      <c r="A405" s="205" t="s">
        <v>927</v>
      </c>
      <c r="B405" s="312"/>
      <c r="C405" s="312"/>
    </row>
    <row r="406" ht="12.75">
      <c r="A406" s="206" t="s">
        <v>818</v>
      </c>
    </row>
    <row r="407" spans="2:3" ht="12.75">
      <c r="B407" s="335" t="s">
        <v>782</v>
      </c>
      <c r="C407" s="335"/>
    </row>
    <row r="408" spans="2:3" ht="12.75">
      <c r="B408" s="311">
        <v>2016</v>
      </c>
      <c r="C408" s="311">
        <v>2015</v>
      </c>
    </row>
    <row r="409" ht="12.75">
      <c r="A409" s="205" t="s">
        <v>895</v>
      </c>
    </row>
    <row r="410" ht="12.75">
      <c r="A410" s="205" t="s">
        <v>860</v>
      </c>
    </row>
    <row r="411" spans="1:3" ht="12.75">
      <c r="A411" s="205" t="s">
        <v>861</v>
      </c>
      <c r="B411" s="312"/>
      <c r="C411" s="312"/>
    </row>
    <row r="412" ht="12.75">
      <c r="A412" s="206" t="s">
        <v>818</v>
      </c>
    </row>
    <row r="417" spans="1:3" ht="12.75">
      <c r="A417" s="206" t="s">
        <v>928</v>
      </c>
      <c r="B417" s="335" t="s">
        <v>782</v>
      </c>
      <c r="C417" s="335"/>
    </row>
    <row r="418" spans="2:3" ht="12.75">
      <c r="B418" s="311">
        <v>2016</v>
      </c>
      <c r="C418" s="311">
        <v>2015</v>
      </c>
    </row>
    <row r="419" spans="1:3" ht="35.25" customHeight="1">
      <c r="A419" s="314" t="s">
        <v>929</v>
      </c>
      <c r="B419" s="321"/>
      <c r="C419" s="321"/>
    </row>
    <row r="420" ht="39.75" customHeight="1"/>
    <row r="421" spans="1:3" ht="45" customHeight="1">
      <c r="A421" s="336" t="s">
        <v>930</v>
      </c>
      <c r="B421" s="336"/>
      <c r="C421" s="336"/>
    </row>
    <row r="422" ht="12.75">
      <c r="A422" s="314"/>
    </row>
    <row r="423" spans="1:3" ht="12.75">
      <c r="A423" s="314" t="s">
        <v>931</v>
      </c>
      <c r="B423" s="335" t="s">
        <v>782</v>
      </c>
      <c r="C423" s="335"/>
    </row>
    <row r="424" spans="2:3" ht="12.75">
      <c r="B424" s="311">
        <v>2016</v>
      </c>
      <c r="C424" s="311">
        <v>2015</v>
      </c>
    </row>
    <row r="425" ht="12.75">
      <c r="A425" s="205" t="s">
        <v>925</v>
      </c>
    </row>
    <row r="426" ht="12.75">
      <c r="A426" s="205" t="s">
        <v>926</v>
      </c>
    </row>
    <row r="427" spans="1:3" ht="12.75">
      <c r="A427" s="205" t="s">
        <v>927</v>
      </c>
      <c r="B427" s="312"/>
      <c r="C427" s="312"/>
    </row>
    <row r="428" ht="12.75">
      <c r="A428" s="206" t="s">
        <v>818</v>
      </c>
    </row>
    <row r="435" ht="12.75">
      <c r="A435" s="206" t="s">
        <v>932</v>
      </c>
    </row>
    <row r="436" ht="12.75">
      <c r="A436" s="206"/>
    </row>
    <row r="437" ht="12.75">
      <c r="A437" s="206"/>
    </row>
    <row r="438" ht="12.75">
      <c r="A438" s="206"/>
    </row>
    <row r="439" spans="1:3" ht="12.75">
      <c r="A439" s="205" t="s">
        <v>933</v>
      </c>
      <c r="B439" s="335" t="s">
        <v>782</v>
      </c>
      <c r="C439" s="335"/>
    </row>
    <row r="440" spans="2:3" ht="12.75">
      <c r="B440" s="311">
        <v>2016</v>
      </c>
      <c r="C440" s="311">
        <v>2015</v>
      </c>
    </row>
    <row r="441" ht="12.75">
      <c r="A441" s="205" t="s">
        <v>925</v>
      </c>
    </row>
    <row r="442" ht="12.75">
      <c r="A442" s="205" t="s">
        <v>926</v>
      </c>
    </row>
    <row r="443" spans="1:3" ht="12.75">
      <c r="A443" s="205" t="s">
        <v>927</v>
      </c>
      <c r="B443" s="312"/>
      <c r="C443" s="312"/>
    </row>
    <row r="444" ht="12.75">
      <c r="A444" s="206" t="s">
        <v>818</v>
      </c>
    </row>
    <row r="445" ht="12.75">
      <c r="A445" s="206"/>
    </row>
    <row r="446" spans="1:3" ht="12.75">
      <c r="A446" s="206"/>
      <c r="B446" s="335" t="s">
        <v>782</v>
      </c>
      <c r="C446" s="335"/>
    </row>
    <row r="447" spans="2:3" ht="12.75">
      <c r="B447" s="311">
        <v>2016</v>
      </c>
      <c r="C447" s="311">
        <v>2015</v>
      </c>
    </row>
    <row r="448" ht="12.75">
      <c r="A448" s="205" t="s">
        <v>815</v>
      </c>
    </row>
    <row r="449" ht="12.75">
      <c r="A449" s="205" t="s">
        <v>816</v>
      </c>
    </row>
    <row r="450" spans="1:3" ht="12.75">
      <c r="A450" s="205" t="s">
        <v>817</v>
      </c>
      <c r="B450" s="312"/>
      <c r="C450" s="312"/>
    </row>
    <row r="451" ht="12.75">
      <c r="A451" s="206" t="s">
        <v>818</v>
      </c>
    </row>
    <row r="452" spans="1:3" ht="12.75">
      <c r="A452" s="206"/>
      <c r="B452" s="335" t="s">
        <v>782</v>
      </c>
      <c r="C452" s="335"/>
    </row>
    <row r="453" spans="2:3" ht="12.75">
      <c r="B453" s="311">
        <v>2016</v>
      </c>
      <c r="C453" s="311">
        <v>2015</v>
      </c>
    </row>
    <row r="454" ht="12.75">
      <c r="A454" s="205" t="s">
        <v>934</v>
      </c>
    </row>
    <row r="455" ht="51">
      <c r="A455" s="314" t="s">
        <v>935</v>
      </c>
    </row>
    <row r="456" ht="25.5">
      <c r="A456" s="314" t="s">
        <v>936</v>
      </c>
    </row>
    <row r="457" ht="25.5">
      <c r="A457" s="314" t="s">
        <v>937</v>
      </c>
    </row>
    <row r="458" ht="12.75">
      <c r="A458" s="314"/>
    </row>
    <row r="459" ht="12.75">
      <c r="A459" s="314"/>
    </row>
    <row r="463" spans="1:3" ht="12.75">
      <c r="A463" s="206" t="s">
        <v>938</v>
      </c>
      <c r="B463" s="335" t="s">
        <v>782</v>
      </c>
      <c r="C463" s="335"/>
    </row>
    <row r="464" spans="2:3" ht="12.75">
      <c r="B464" s="311">
        <v>2016</v>
      </c>
      <c r="C464" s="311">
        <v>2015</v>
      </c>
    </row>
    <row r="465" spans="1:3" ht="25.5">
      <c r="A465" s="314" t="s">
        <v>939</v>
      </c>
      <c r="B465" s="321"/>
      <c r="C465" s="321"/>
    </row>
    <row r="467" spans="1:3" ht="12.75">
      <c r="A467" s="336" t="s">
        <v>930</v>
      </c>
      <c r="B467" s="336"/>
      <c r="C467" s="336"/>
    </row>
    <row r="468" ht="12.75">
      <c r="A468" s="314"/>
    </row>
    <row r="469" spans="1:3" ht="12.75">
      <c r="A469" s="314" t="s">
        <v>940</v>
      </c>
      <c r="B469" s="335" t="s">
        <v>782</v>
      </c>
      <c r="C469" s="335"/>
    </row>
    <row r="470" spans="2:3" ht="12.75">
      <c r="B470" s="311">
        <v>2016</v>
      </c>
      <c r="C470" s="311">
        <v>2015</v>
      </c>
    </row>
    <row r="471" ht="12.75">
      <c r="A471" s="205" t="s">
        <v>925</v>
      </c>
    </row>
    <row r="472" ht="12.75">
      <c r="A472" s="205" t="s">
        <v>926</v>
      </c>
    </row>
    <row r="473" spans="1:3" ht="12.75">
      <c r="A473" s="205" t="s">
        <v>927</v>
      </c>
      <c r="B473" s="312"/>
      <c r="C473" s="312"/>
    </row>
    <row r="474" ht="12.75">
      <c r="A474" s="206" t="s">
        <v>818</v>
      </c>
    </row>
    <row r="476" ht="12.75">
      <c r="A476" s="205" t="s">
        <v>0</v>
      </c>
    </row>
    <row r="482" spans="1:3" ht="12.75">
      <c r="A482" s="313" t="s">
        <v>653</v>
      </c>
      <c r="B482" s="335" t="s">
        <v>782</v>
      </c>
      <c r="C482" s="335"/>
    </row>
    <row r="483" spans="2:3" ht="12.75">
      <c r="B483" s="311">
        <v>2016</v>
      </c>
      <c r="C483" s="311">
        <v>2015</v>
      </c>
    </row>
    <row r="484" ht="12.75">
      <c r="A484" s="205" t="s">
        <v>941</v>
      </c>
    </row>
    <row r="485" ht="12.75">
      <c r="A485" s="205" t="s">
        <v>942</v>
      </c>
    </row>
    <row r="486" ht="12.75">
      <c r="A486" s="205" t="s">
        <v>60</v>
      </c>
    </row>
    <row r="487" ht="12.75">
      <c r="A487" s="205" t="s">
        <v>943</v>
      </c>
    </row>
    <row r="488" ht="12.75">
      <c r="A488" s="205" t="s">
        <v>503</v>
      </c>
    </row>
    <row r="489" ht="12.75">
      <c r="A489" s="205" t="s">
        <v>944</v>
      </c>
    </row>
    <row r="490" spans="1:3" ht="12.75">
      <c r="A490" s="205" t="s">
        <v>945</v>
      </c>
      <c r="B490" s="312"/>
      <c r="C490" s="312"/>
    </row>
    <row r="491" spans="1:3" ht="12.75">
      <c r="A491" s="206" t="s">
        <v>946</v>
      </c>
      <c r="B491" s="206"/>
      <c r="C491" s="206"/>
    </row>
    <row r="493" spans="2:3" ht="12.75">
      <c r="B493" s="335" t="s">
        <v>782</v>
      </c>
      <c r="C493" s="335"/>
    </row>
    <row r="494" spans="2:3" ht="12.75">
      <c r="B494" s="311">
        <v>2016</v>
      </c>
      <c r="C494" s="311">
        <v>2015</v>
      </c>
    </row>
    <row r="495" ht="12.75">
      <c r="A495" s="205" t="s">
        <v>947</v>
      </c>
    </row>
    <row r="498" spans="1:3" ht="12.75">
      <c r="A498" s="205" t="s">
        <v>948</v>
      </c>
      <c r="B498" s="335" t="s">
        <v>782</v>
      </c>
      <c r="C498" s="335"/>
    </row>
    <row r="499" spans="2:3" ht="12.75">
      <c r="B499" s="311">
        <v>2016</v>
      </c>
      <c r="C499" s="311">
        <v>2015</v>
      </c>
    </row>
    <row r="500" ht="25.5">
      <c r="A500" s="314" t="s">
        <v>949</v>
      </c>
    </row>
    <row r="501" ht="25.5">
      <c r="A501" s="314" t="s">
        <v>950</v>
      </c>
    </row>
    <row r="502" ht="25.5">
      <c r="A502" s="314" t="s">
        <v>951</v>
      </c>
    </row>
    <row r="510" spans="1:3" ht="12.75">
      <c r="A510" s="206" t="s">
        <v>260</v>
      </c>
      <c r="B510" s="335" t="s">
        <v>782</v>
      </c>
      <c r="C510" s="335"/>
    </row>
    <row r="511" spans="2:3" ht="12.75">
      <c r="B511" s="311">
        <v>2016</v>
      </c>
      <c r="C511" s="311">
        <v>2015</v>
      </c>
    </row>
    <row r="512" spans="1:3" ht="12.75">
      <c r="A512" s="205" t="s">
        <v>952</v>
      </c>
      <c r="B512" s="322"/>
      <c r="C512" s="322"/>
    </row>
    <row r="513" spans="1:3" ht="12.75">
      <c r="A513" s="205" t="s">
        <v>953</v>
      </c>
      <c r="B513" s="322"/>
      <c r="C513" s="322"/>
    </row>
    <row r="514" spans="1:3" ht="12.75">
      <c r="A514" s="205" t="s">
        <v>954</v>
      </c>
      <c r="B514" s="323"/>
      <c r="C514" s="323"/>
    </row>
    <row r="515" spans="1:3" ht="12.75">
      <c r="A515" s="206" t="s">
        <v>955</v>
      </c>
      <c r="B515" s="324"/>
      <c r="C515" s="324"/>
    </row>
    <row r="519" spans="1:3" ht="12.75">
      <c r="A519" s="206" t="s">
        <v>656</v>
      </c>
      <c r="B519" s="335" t="s">
        <v>782</v>
      </c>
      <c r="C519" s="335"/>
    </row>
    <row r="520" spans="2:3" ht="12.75">
      <c r="B520" s="311">
        <v>2016</v>
      </c>
      <c r="C520" s="311">
        <v>2015</v>
      </c>
    </row>
    <row r="521" ht="12.75">
      <c r="A521" s="205" t="s">
        <v>504</v>
      </c>
    </row>
    <row r="522" ht="12.75">
      <c r="A522" s="205" t="s">
        <v>956</v>
      </c>
    </row>
    <row r="523" ht="12.75">
      <c r="A523" s="205" t="s">
        <v>957</v>
      </c>
    </row>
    <row r="524" ht="12.75">
      <c r="A524" s="205" t="s">
        <v>147</v>
      </c>
    </row>
    <row r="525" ht="12.75">
      <c r="A525" s="205" t="s">
        <v>958</v>
      </c>
    </row>
    <row r="526" spans="1:6" ht="12.75">
      <c r="A526" s="205" t="s">
        <v>959</v>
      </c>
      <c r="F526" s="209"/>
    </row>
    <row r="527" spans="1:6" ht="12.75">
      <c r="A527" s="205" t="s">
        <v>960</v>
      </c>
      <c r="F527" s="209"/>
    </row>
    <row r="528" spans="1:6" ht="12.75">
      <c r="A528" s="205" t="s">
        <v>961</v>
      </c>
      <c r="F528" s="209"/>
    </row>
    <row r="529" spans="1:6" ht="12.75">
      <c r="A529" s="205" t="s">
        <v>962</v>
      </c>
      <c r="F529" s="209"/>
    </row>
    <row r="530" spans="1:6" ht="12.75">
      <c r="A530" s="205" t="s">
        <v>963</v>
      </c>
      <c r="F530" s="209"/>
    </row>
    <row r="531" spans="1:6" ht="12.75">
      <c r="A531" s="205" t="s">
        <v>964</v>
      </c>
      <c r="F531" s="209"/>
    </row>
    <row r="532" spans="1:6" ht="12.75">
      <c r="A532" s="205" t="s">
        <v>508</v>
      </c>
      <c r="F532" s="209"/>
    </row>
    <row r="533" spans="1:6" ht="12.75">
      <c r="A533" s="205" t="s">
        <v>965</v>
      </c>
      <c r="B533" s="312"/>
      <c r="C533" s="312"/>
      <c r="F533" s="209"/>
    </row>
    <row r="534" ht="12.75">
      <c r="A534" s="206" t="s">
        <v>966</v>
      </c>
    </row>
    <row r="541" ht="12.75">
      <c r="A541" s="313" t="s">
        <v>655</v>
      </c>
    </row>
    <row r="542" spans="2:3" ht="12.75">
      <c r="B542" s="335" t="s">
        <v>782</v>
      </c>
      <c r="C542" s="335"/>
    </row>
    <row r="543" spans="2:3" ht="12.75">
      <c r="B543" s="311">
        <v>2016</v>
      </c>
      <c r="C543" s="311">
        <v>2015</v>
      </c>
    </row>
    <row r="544" ht="12.75">
      <c r="A544" s="205" t="s">
        <v>503</v>
      </c>
    </row>
    <row r="545" ht="12.75">
      <c r="A545" s="205" t="s">
        <v>147</v>
      </c>
    </row>
    <row r="546" ht="12.75">
      <c r="A546" s="205" t="s">
        <v>967</v>
      </c>
    </row>
    <row r="547" spans="1:3" ht="12.75">
      <c r="A547" s="205" t="s">
        <v>944</v>
      </c>
      <c r="B547" s="312"/>
      <c r="C547" s="312"/>
    </row>
    <row r="548" spans="1:6" ht="12.75">
      <c r="A548" s="206" t="s">
        <v>968</v>
      </c>
      <c r="B548" s="206"/>
      <c r="C548" s="206"/>
      <c r="F548" s="209"/>
    </row>
    <row r="552" ht="12.75">
      <c r="A552" s="313" t="s">
        <v>657</v>
      </c>
    </row>
    <row r="553" spans="2:3" ht="12.75">
      <c r="B553" s="335" t="s">
        <v>782</v>
      </c>
      <c r="C553" s="335"/>
    </row>
    <row r="554" spans="2:3" ht="12.75">
      <c r="B554" s="311">
        <v>2016</v>
      </c>
      <c r="C554" s="311">
        <v>2015</v>
      </c>
    </row>
    <row r="555" ht="12.75">
      <c r="A555" s="205" t="s">
        <v>501</v>
      </c>
    </row>
    <row r="556" ht="12.75">
      <c r="A556" s="301" t="s">
        <v>969</v>
      </c>
    </row>
    <row r="557" ht="25.5">
      <c r="A557" s="301" t="s">
        <v>970</v>
      </c>
    </row>
    <row r="558" ht="25.5">
      <c r="A558" s="301" t="s">
        <v>971</v>
      </c>
    </row>
    <row r="559" spans="1:3" ht="25.5">
      <c r="A559" s="301" t="s">
        <v>972</v>
      </c>
      <c r="B559" s="312"/>
      <c r="C559" s="312"/>
    </row>
    <row r="560" spans="1:3" ht="12.75">
      <c r="A560" s="206" t="s">
        <v>973</v>
      </c>
      <c r="B560" s="206"/>
      <c r="C560" s="206"/>
    </row>
    <row r="567" spans="1:3" ht="12.75">
      <c r="A567" s="313" t="s">
        <v>512</v>
      </c>
      <c r="B567" s="335" t="s">
        <v>782</v>
      </c>
      <c r="C567" s="335"/>
    </row>
    <row r="568" spans="2:3" ht="12.75">
      <c r="B568" s="311">
        <v>2016</v>
      </c>
      <c r="C568" s="311">
        <v>2015</v>
      </c>
    </row>
    <row r="569" ht="12.75">
      <c r="A569" s="205" t="s">
        <v>974</v>
      </c>
    </row>
    <row r="570" ht="12.75">
      <c r="A570" s="205" t="s">
        <v>975</v>
      </c>
    </row>
    <row r="571" spans="1:3" ht="12.75">
      <c r="A571" s="314" t="s">
        <v>976</v>
      </c>
      <c r="B571" s="312"/>
      <c r="C571" s="312"/>
    </row>
    <row r="572" spans="1:3" ht="12.75">
      <c r="A572" s="206" t="s">
        <v>977</v>
      </c>
      <c r="B572" s="206"/>
      <c r="C572" s="206"/>
    </row>
    <row r="575" spans="1:3" ht="12.75">
      <c r="A575" s="206" t="s">
        <v>978</v>
      </c>
      <c r="B575" s="335" t="s">
        <v>782</v>
      </c>
      <c r="C575" s="335"/>
    </row>
    <row r="576" spans="2:3" ht="12.75">
      <c r="B576" s="311">
        <v>2016</v>
      </c>
      <c r="C576" s="311">
        <v>2015</v>
      </c>
    </row>
    <row r="577" ht="13.5" customHeight="1">
      <c r="A577" s="205" t="s">
        <v>979</v>
      </c>
    </row>
    <row r="578" ht="12.75">
      <c r="A578" s="205" t="s">
        <v>980</v>
      </c>
    </row>
    <row r="579" ht="12.75">
      <c r="A579" s="314" t="s">
        <v>981</v>
      </c>
    </row>
    <row r="580" ht="12.75">
      <c r="A580" s="205" t="s">
        <v>982</v>
      </c>
    </row>
    <row r="581" spans="1:3" ht="12.75">
      <c r="A581" s="205" t="s">
        <v>983</v>
      </c>
      <c r="B581" s="312"/>
      <c r="C581" s="312"/>
    </row>
    <row r="582" ht="12.75">
      <c r="A582" s="206" t="s">
        <v>984</v>
      </c>
    </row>
    <row r="585" ht="12.75">
      <c r="A585" s="205" t="s">
        <v>985</v>
      </c>
    </row>
    <row r="586" spans="2:3" ht="12.75">
      <c r="B586" s="335" t="s">
        <v>782</v>
      </c>
      <c r="C586" s="335"/>
    </row>
    <row r="587" spans="2:3" ht="12.75">
      <c r="B587" s="311">
        <v>2016</v>
      </c>
      <c r="C587" s="311">
        <v>2015</v>
      </c>
    </row>
    <row r="588" ht="12.75">
      <c r="A588" s="205" t="s">
        <v>986</v>
      </c>
    </row>
    <row r="589" ht="12.75">
      <c r="A589" s="205" t="s">
        <v>987</v>
      </c>
    </row>
    <row r="590" spans="1:3" ht="12.75">
      <c r="A590" s="205" t="s">
        <v>988</v>
      </c>
      <c r="B590" s="312"/>
      <c r="C590" s="312"/>
    </row>
    <row r="591" ht="12.75">
      <c r="A591" s="206" t="s">
        <v>989</v>
      </c>
    </row>
    <row r="592" spans="1:3" ht="12.75">
      <c r="A592" s="205" t="s">
        <v>990</v>
      </c>
      <c r="B592" s="312"/>
      <c r="C592" s="312"/>
    </row>
    <row r="593" ht="12.75">
      <c r="A593" s="206" t="s">
        <v>991</v>
      </c>
    </row>
    <row r="594" ht="12.75">
      <c r="A594" s="205" t="s">
        <v>992</v>
      </c>
    </row>
    <row r="595" spans="1:3" ht="12.75">
      <c r="A595" s="205" t="s">
        <v>993</v>
      </c>
      <c r="B595" s="312"/>
      <c r="C595" s="312"/>
    </row>
    <row r="596" ht="12.75">
      <c r="A596" s="206" t="s">
        <v>994</v>
      </c>
    </row>
    <row r="597" ht="12.75">
      <c r="A597" s="206"/>
    </row>
    <row r="598" spans="1:3" ht="13.5" customHeight="1">
      <c r="A598" s="205" t="s">
        <v>995</v>
      </c>
      <c r="B598" s="312"/>
      <c r="C598" s="312"/>
    </row>
    <row r="599" ht="25.5">
      <c r="A599" s="313" t="s">
        <v>996</v>
      </c>
    </row>
    <row r="600" spans="1:3" ht="12.75">
      <c r="A600" s="205" t="s">
        <v>997</v>
      </c>
      <c r="B600" s="312"/>
      <c r="C600" s="312"/>
    </row>
    <row r="601" ht="12.75">
      <c r="A601" s="206" t="s">
        <v>998</v>
      </c>
    </row>
    <row r="602" ht="25.5">
      <c r="A602" s="313" t="s">
        <v>999</v>
      </c>
    </row>
    <row r="603" ht="12.75">
      <c r="A603" s="206"/>
    </row>
    <row r="604" ht="12.75">
      <c r="A604" s="206"/>
    </row>
    <row r="606" ht="12.75">
      <c r="A606" s="205" t="s">
        <v>1000</v>
      </c>
    </row>
    <row r="607" spans="2:3" ht="12.75">
      <c r="B607" s="335" t="s">
        <v>782</v>
      </c>
      <c r="C607" s="335"/>
    </row>
    <row r="608" spans="2:3" ht="12.75">
      <c r="B608" s="311">
        <v>2016</v>
      </c>
      <c r="C608" s="311">
        <v>2015</v>
      </c>
    </row>
    <row r="609" ht="12.75">
      <c r="A609" s="205" t="s">
        <v>1001</v>
      </c>
    </row>
    <row r="610" ht="12.75">
      <c r="A610" s="205" t="s">
        <v>1002</v>
      </c>
    </row>
    <row r="611" ht="12.75">
      <c r="A611" s="205" t="s">
        <v>1003</v>
      </c>
    </row>
    <row r="612" ht="12.75">
      <c r="A612" s="205" t="s">
        <v>1004</v>
      </c>
    </row>
    <row r="613" spans="1:3" ht="12.75">
      <c r="A613" s="205" t="s">
        <v>1005</v>
      </c>
      <c r="B613" s="312"/>
      <c r="C613" s="312"/>
    </row>
    <row r="614" ht="12.75">
      <c r="A614" s="206" t="s">
        <v>1006</v>
      </c>
    </row>
    <row r="615" ht="25.5">
      <c r="A615" s="313" t="s">
        <v>1007</v>
      </c>
    </row>
    <row r="616" ht="12.75">
      <c r="A616" s="206"/>
    </row>
    <row r="617" ht="12.75">
      <c r="A617" s="206"/>
    </row>
    <row r="618" ht="12.75">
      <c r="A618" s="206"/>
    </row>
    <row r="619" ht="12.75">
      <c r="A619" s="206"/>
    </row>
    <row r="620" ht="12.75">
      <c r="A620" s="206"/>
    </row>
    <row r="621" ht="12.75">
      <c r="A621" s="206"/>
    </row>
    <row r="622" ht="12.75">
      <c r="A622" s="206"/>
    </row>
    <row r="623" ht="12.75">
      <c r="A623" s="206" t="s">
        <v>1008</v>
      </c>
    </row>
    <row r="624" ht="12.75">
      <c r="A624" s="206"/>
    </row>
    <row r="625" spans="1:3" ht="12.75">
      <c r="A625" s="336" t="s">
        <v>1009</v>
      </c>
      <c r="B625" s="336"/>
      <c r="C625" s="336"/>
    </row>
    <row r="626" spans="1:3" ht="12.75">
      <c r="A626" s="206"/>
      <c r="B626" s="335" t="s">
        <v>782</v>
      </c>
      <c r="C626" s="335"/>
    </row>
    <row r="627" spans="1:3" ht="12.75">
      <c r="A627" s="206"/>
      <c r="B627" s="311">
        <v>2016</v>
      </c>
      <c r="C627" s="311">
        <v>2015</v>
      </c>
    </row>
    <row r="628" ht="12.75">
      <c r="A628" s="205" t="s">
        <v>23</v>
      </c>
    </row>
    <row r="629" ht="12.75">
      <c r="A629" s="205" t="s">
        <v>87</v>
      </c>
    </row>
    <row r="630" ht="12.75">
      <c r="A630" s="205" t="s">
        <v>125</v>
      </c>
    </row>
    <row r="631" ht="12.75">
      <c r="A631" s="205" t="s">
        <v>884</v>
      </c>
    </row>
    <row r="632" ht="12.75">
      <c r="A632" s="205" t="s">
        <v>1010</v>
      </c>
    </row>
    <row r="633" ht="12.75">
      <c r="A633" s="205" t="s">
        <v>1011</v>
      </c>
    </row>
    <row r="634" ht="12.75">
      <c r="A634" s="205" t="s">
        <v>1012</v>
      </c>
    </row>
    <row r="635" ht="12.75">
      <c r="A635" s="205" t="s">
        <v>1013</v>
      </c>
    </row>
    <row r="636" ht="12.75">
      <c r="A636" s="205" t="s">
        <v>619</v>
      </c>
    </row>
    <row r="637" spans="1:3" ht="13.5" customHeight="1">
      <c r="A637" s="205" t="s">
        <v>636</v>
      </c>
      <c r="B637" s="312"/>
      <c r="C637" s="312"/>
    </row>
    <row r="638" ht="12.75">
      <c r="A638" s="206" t="s">
        <v>1014</v>
      </c>
    </row>
    <row r="639" ht="12.75">
      <c r="A639" s="206" t="s">
        <v>820</v>
      </c>
    </row>
    <row r="640" spans="1:3" ht="12.75">
      <c r="A640" s="205" t="s">
        <v>1015</v>
      </c>
      <c r="B640" s="312"/>
      <c r="C640" s="312"/>
    </row>
    <row r="641" ht="12.75">
      <c r="A641" s="206" t="s">
        <v>497</v>
      </c>
    </row>
    <row r="643" ht="25.5">
      <c r="A643" s="314" t="s">
        <v>1016</v>
      </c>
    </row>
    <row r="644" ht="25.5">
      <c r="A644" s="314" t="s">
        <v>1017</v>
      </c>
    </row>
    <row r="647" spans="1:3" ht="72" customHeight="1">
      <c r="A647" s="336" t="s">
        <v>1018</v>
      </c>
      <c r="B647" s="336"/>
      <c r="C647" s="336"/>
    </row>
    <row r="649" spans="2:3" ht="12.75">
      <c r="B649" s="335" t="s">
        <v>782</v>
      </c>
      <c r="C649" s="335"/>
    </row>
    <row r="650" spans="2:3" ht="12.75">
      <c r="B650" s="311">
        <v>2016</v>
      </c>
      <c r="C650" s="311">
        <v>2015</v>
      </c>
    </row>
    <row r="651" ht="12.75">
      <c r="A651" s="205" t="s">
        <v>1019</v>
      </c>
    </row>
    <row r="652" spans="1:3" ht="12.75">
      <c r="A652" s="205" t="s">
        <v>294</v>
      </c>
      <c r="B652" s="312"/>
      <c r="C652" s="312"/>
    </row>
    <row r="653" spans="1:3" ht="12.75">
      <c r="A653" s="206" t="s">
        <v>83</v>
      </c>
      <c r="B653" s="206"/>
      <c r="C653" s="206"/>
    </row>
    <row r="654" spans="1:3" ht="12.75">
      <c r="A654" s="206"/>
      <c r="B654" s="206"/>
      <c r="C654" s="206"/>
    </row>
    <row r="655" spans="1:3" ht="12.75">
      <c r="A655" s="206"/>
      <c r="B655" s="206"/>
      <c r="C655" s="206"/>
    </row>
    <row r="656" spans="2:3" ht="12.75">
      <c r="B656" s="335" t="s">
        <v>782</v>
      </c>
      <c r="C656" s="335"/>
    </row>
    <row r="657" spans="2:3" ht="12.75">
      <c r="B657" s="311">
        <v>2016</v>
      </c>
      <c r="C657" s="311">
        <v>2015</v>
      </c>
    </row>
    <row r="658" ht="12.75">
      <c r="A658" s="301" t="s">
        <v>1020</v>
      </c>
    </row>
    <row r="659" ht="12.75">
      <c r="A659" s="301" t="s">
        <v>1021</v>
      </c>
    </row>
    <row r="660" ht="12.75">
      <c r="A660" s="301" t="s">
        <v>978</v>
      </c>
    </row>
    <row r="661" ht="25.5">
      <c r="A661" s="301" t="s">
        <v>1022</v>
      </c>
    </row>
    <row r="662" ht="38.25">
      <c r="A662" s="301" t="s">
        <v>1023</v>
      </c>
    </row>
    <row r="663" ht="38.25">
      <c r="A663" s="301" t="s">
        <v>1024</v>
      </c>
    </row>
    <row r="664" ht="51">
      <c r="A664" s="301" t="s">
        <v>1025</v>
      </c>
    </row>
    <row r="665" ht="51">
      <c r="A665" s="301" t="s">
        <v>1026</v>
      </c>
    </row>
    <row r="666" ht="25.5">
      <c r="A666" s="301" t="s">
        <v>1027</v>
      </c>
    </row>
    <row r="667" ht="38.25">
      <c r="A667" s="301" t="s">
        <v>1028</v>
      </c>
    </row>
    <row r="668" ht="38.25">
      <c r="A668" s="301" t="s">
        <v>1029</v>
      </c>
    </row>
    <row r="669" ht="38.25">
      <c r="A669" s="301" t="s">
        <v>1030</v>
      </c>
    </row>
    <row r="670" ht="49.5" customHeight="1">
      <c r="A670" s="301" t="s">
        <v>1031</v>
      </c>
    </row>
    <row r="671" spans="1:3" ht="25.5">
      <c r="A671" s="301" t="s">
        <v>1032</v>
      </c>
      <c r="B671" s="312"/>
      <c r="C671" s="312"/>
    </row>
    <row r="672" spans="1:3" ht="12.75">
      <c r="A672" s="206" t="s">
        <v>1033</v>
      </c>
      <c r="B672" s="206"/>
      <c r="C672" s="206"/>
    </row>
    <row r="680" spans="1:3" ht="12.75">
      <c r="A680" s="206" t="s">
        <v>1034</v>
      </c>
      <c r="B680" s="335" t="s">
        <v>782</v>
      </c>
      <c r="C680" s="335"/>
    </row>
    <row r="681" spans="2:3" ht="12.75">
      <c r="B681" s="311">
        <v>2016</v>
      </c>
      <c r="C681" s="311">
        <v>2015</v>
      </c>
    </row>
    <row r="682" spans="1:3" ht="12.75">
      <c r="A682" s="205" t="s">
        <v>1035</v>
      </c>
      <c r="B682" s="316"/>
      <c r="C682" s="316"/>
    </row>
    <row r="683" spans="1:3" ht="12.75">
      <c r="A683" s="205" t="s">
        <v>1036</v>
      </c>
      <c r="B683" s="316"/>
      <c r="C683" s="316"/>
    </row>
    <row r="684" spans="1:3" ht="12.75">
      <c r="A684" s="205" t="s">
        <v>1037</v>
      </c>
      <c r="B684" s="316"/>
      <c r="C684" s="316"/>
    </row>
    <row r="685" spans="1:3" ht="12.75">
      <c r="A685" s="205" t="s">
        <v>1038</v>
      </c>
      <c r="B685" s="316"/>
      <c r="C685" s="316"/>
    </row>
    <row r="686" spans="2:3" ht="12.75">
      <c r="B686" s="316"/>
      <c r="C686" s="316"/>
    </row>
    <row r="687" spans="2:3" ht="12.75">
      <c r="B687" s="335" t="s">
        <v>782</v>
      </c>
      <c r="C687" s="335"/>
    </row>
    <row r="688" spans="2:3" ht="12.75">
      <c r="B688" s="311">
        <v>2016</v>
      </c>
      <c r="C688" s="311">
        <v>2015</v>
      </c>
    </row>
    <row r="689" spans="1:3" ht="12.75">
      <c r="A689" s="205" t="s">
        <v>1039</v>
      </c>
      <c r="B689" s="316"/>
      <c r="C689" s="316"/>
    </row>
    <row r="690" spans="1:3" ht="12.75">
      <c r="A690" s="205" t="s">
        <v>1040</v>
      </c>
      <c r="B690" s="316"/>
      <c r="C690" s="316"/>
    </row>
    <row r="691" spans="1:3" ht="12.75">
      <c r="A691" s="205" t="s">
        <v>1041</v>
      </c>
      <c r="B691" s="316"/>
      <c r="C691" s="316"/>
    </row>
    <row r="692" spans="2:3" ht="12.75">
      <c r="B692" s="316"/>
      <c r="C692" s="316"/>
    </row>
    <row r="693" spans="2:3" ht="12.75">
      <c r="B693" s="316"/>
      <c r="C693" s="316"/>
    </row>
    <row r="694" spans="2:3" ht="12.75">
      <c r="B694" s="316"/>
      <c r="C694" s="316"/>
    </row>
    <row r="698" spans="1:3" ht="12.75">
      <c r="A698" s="206" t="s">
        <v>1042</v>
      </c>
      <c r="B698" s="335" t="s">
        <v>782</v>
      </c>
      <c r="C698" s="335"/>
    </row>
    <row r="699" spans="2:3" ht="12.75">
      <c r="B699" s="311">
        <v>2016</v>
      </c>
      <c r="C699" s="311">
        <v>2015</v>
      </c>
    </row>
    <row r="700" ht="12.75">
      <c r="A700" s="206" t="s">
        <v>851</v>
      </c>
    </row>
    <row r="701" ht="12.75">
      <c r="A701" s="205" t="s">
        <v>941</v>
      </c>
    </row>
    <row r="702" ht="12.75">
      <c r="A702" s="205" t="s">
        <v>1043</v>
      </c>
    </row>
    <row r="703" ht="12.75">
      <c r="A703" s="205" t="s">
        <v>1044</v>
      </c>
    </row>
    <row r="704" ht="12.75">
      <c r="A704" s="205" t="s">
        <v>1045</v>
      </c>
    </row>
    <row r="705" ht="12.75">
      <c r="A705" s="205" t="s">
        <v>1046</v>
      </c>
    </row>
    <row r="706" ht="12.75">
      <c r="A706" s="205" t="s">
        <v>1047</v>
      </c>
    </row>
    <row r="707" ht="12.75">
      <c r="A707" s="205" t="s">
        <v>707</v>
      </c>
    </row>
    <row r="708" ht="12.75">
      <c r="A708" s="205" t="s">
        <v>1048</v>
      </c>
    </row>
    <row r="709" ht="12.75">
      <c r="A709" s="205" t="s">
        <v>1049</v>
      </c>
    </row>
    <row r="710" ht="12.75">
      <c r="A710" s="205" t="s">
        <v>1050</v>
      </c>
    </row>
    <row r="711" ht="12.75">
      <c r="A711" s="205" t="s">
        <v>1051</v>
      </c>
    </row>
    <row r="712" ht="12.75">
      <c r="A712" s="205" t="s">
        <v>1052</v>
      </c>
    </row>
    <row r="713" ht="12.75">
      <c r="A713" s="205" t="s">
        <v>534</v>
      </c>
    </row>
    <row r="714" ht="12.75">
      <c r="A714" s="205" t="s">
        <v>1053</v>
      </c>
    </row>
    <row r="715" ht="12.75">
      <c r="A715" s="205" t="s">
        <v>1054</v>
      </c>
    </row>
    <row r="716" ht="12.75">
      <c r="A716" s="205" t="s">
        <v>768</v>
      </c>
    </row>
    <row r="719" spans="1:3" ht="12.75">
      <c r="A719" s="314" t="s">
        <v>1055</v>
      </c>
      <c r="B719" s="335" t="s">
        <v>782</v>
      </c>
      <c r="C719" s="335"/>
    </row>
    <row r="720" spans="2:3" ht="12.75">
      <c r="B720" s="311">
        <v>2016</v>
      </c>
      <c r="C720" s="311">
        <v>2015</v>
      </c>
    </row>
    <row r="721" ht="12.75">
      <c r="A721" s="314" t="s">
        <v>342</v>
      </c>
    </row>
    <row r="722" ht="12.75">
      <c r="A722" s="205" t="s">
        <v>1056</v>
      </c>
    </row>
    <row r="723" ht="12.75">
      <c r="A723" s="205" t="s">
        <v>1057</v>
      </c>
    </row>
    <row r="724" ht="12.75">
      <c r="A724" s="205" t="s">
        <v>345</v>
      </c>
    </row>
    <row r="725" spans="1:3" ht="12.75">
      <c r="A725" s="205" t="s">
        <v>1058</v>
      </c>
      <c r="B725" s="312"/>
      <c r="C725" s="312"/>
    </row>
    <row r="726" spans="1:3" ht="12.75">
      <c r="A726" s="206" t="s">
        <v>1059</v>
      </c>
      <c r="B726" s="206"/>
      <c r="C726" s="206"/>
    </row>
    <row r="731" ht="12.75">
      <c r="A731" s="206" t="s">
        <v>1060</v>
      </c>
    </row>
    <row r="732" ht="16.5" customHeight="1">
      <c r="A732" s="206"/>
    </row>
    <row r="733" spans="1:3" ht="16.5" customHeight="1">
      <c r="A733" s="205" t="s">
        <v>1061</v>
      </c>
      <c r="B733" s="335" t="s">
        <v>782</v>
      </c>
      <c r="C733" s="335"/>
    </row>
    <row r="734" spans="2:3" ht="12.75">
      <c r="B734" s="311">
        <v>2016</v>
      </c>
      <c r="C734" s="311">
        <v>2015</v>
      </c>
    </row>
    <row r="735" ht="12.75">
      <c r="A735" s="205" t="s">
        <v>1062</v>
      </c>
    </row>
    <row r="736" ht="12.75">
      <c r="A736" s="205" t="s">
        <v>23</v>
      </c>
    </row>
    <row r="737" ht="12.75">
      <c r="A737" s="205" t="s">
        <v>1063</v>
      </c>
    </row>
    <row r="738" ht="12.75">
      <c r="A738" s="205" t="s">
        <v>125</v>
      </c>
    </row>
    <row r="739" ht="12.75">
      <c r="A739" s="205" t="s">
        <v>1064</v>
      </c>
    </row>
    <row r="740" ht="12.75">
      <c r="A740" s="205" t="s">
        <v>19</v>
      </c>
    </row>
    <row r="741" ht="12.75">
      <c r="A741" s="205" t="s">
        <v>1065</v>
      </c>
    </row>
    <row r="742" spans="1:3" ht="12.75">
      <c r="A742" s="205" t="s">
        <v>1066</v>
      </c>
      <c r="B742" s="312"/>
      <c r="C742" s="312"/>
    </row>
    <row r="743" spans="1:2" ht="12.75">
      <c r="A743" s="206" t="s">
        <v>1067</v>
      </c>
      <c r="B743" s="206"/>
    </row>
    <row r="746" spans="1:3" ht="12.75">
      <c r="A746" s="205" t="s">
        <v>1068</v>
      </c>
      <c r="B746" s="335" t="s">
        <v>782</v>
      </c>
      <c r="C746" s="335"/>
    </row>
    <row r="747" spans="2:3" ht="12.75">
      <c r="B747" s="311">
        <v>2016</v>
      </c>
      <c r="C747" s="311">
        <v>2015</v>
      </c>
    </row>
    <row r="748" ht="12.75">
      <c r="A748" s="301" t="s">
        <v>1062</v>
      </c>
    </row>
    <row r="749" ht="12.75">
      <c r="A749" s="301" t="s">
        <v>23</v>
      </c>
    </row>
    <row r="750" ht="12.75">
      <c r="A750" s="301" t="s">
        <v>1063</v>
      </c>
    </row>
    <row r="751" ht="12.75">
      <c r="A751" s="301" t="s">
        <v>1064</v>
      </c>
    </row>
    <row r="752" ht="12.75">
      <c r="A752" s="301" t="s">
        <v>19</v>
      </c>
    </row>
    <row r="753" ht="12.75">
      <c r="A753" s="301" t="s">
        <v>1065</v>
      </c>
    </row>
    <row r="754" spans="1:3" ht="12.75">
      <c r="A754" s="301" t="s">
        <v>1066</v>
      </c>
      <c r="B754" s="312"/>
      <c r="C754" s="312"/>
    </row>
    <row r="755" ht="12.75">
      <c r="A755" s="274" t="s">
        <v>1068</v>
      </c>
    </row>
    <row r="759" ht="12.75">
      <c r="A759" s="206" t="s">
        <v>1069</v>
      </c>
    </row>
    <row r="761" spans="1:3" ht="76.5">
      <c r="A761" s="314" t="s">
        <v>1070</v>
      </c>
      <c r="B761" s="335" t="s">
        <v>782</v>
      </c>
      <c r="C761" s="335"/>
    </row>
    <row r="762" spans="2:3" ht="12.75">
      <c r="B762" s="311">
        <v>2016</v>
      </c>
      <c r="C762" s="311">
        <v>2015</v>
      </c>
    </row>
    <row r="763" spans="1:3" ht="12.75">
      <c r="A763" s="205" t="s">
        <v>820</v>
      </c>
      <c r="B763" s="316"/>
      <c r="C763" s="316"/>
    </row>
    <row r="764" ht="12.75">
      <c r="A764" s="205" t="s">
        <v>1071</v>
      </c>
    </row>
    <row r="765" ht="12.75">
      <c r="A765" s="205" t="s">
        <v>1072</v>
      </c>
    </row>
    <row r="766" ht="12.75">
      <c r="A766" s="205" t="s">
        <v>1073</v>
      </c>
    </row>
    <row r="767" ht="12.75">
      <c r="A767" s="205" t="s">
        <v>497</v>
      </c>
    </row>
    <row r="771" ht="12.75">
      <c r="A771" s="206" t="s">
        <v>1074</v>
      </c>
    </row>
    <row r="774" spans="1:3" ht="12.75">
      <c r="A774" s="205" t="s">
        <v>1075</v>
      </c>
      <c r="B774" s="335" t="s">
        <v>782</v>
      </c>
      <c r="C774" s="335"/>
    </row>
    <row r="775" spans="2:3" ht="12.75">
      <c r="B775" s="311">
        <v>2016</v>
      </c>
      <c r="C775" s="311">
        <v>2015</v>
      </c>
    </row>
    <row r="787" ht="12.75">
      <c r="A787" s="206" t="s">
        <v>1076</v>
      </c>
    </row>
    <row r="789" spans="2:3" ht="12.75">
      <c r="B789" s="335" t="s">
        <v>782</v>
      </c>
      <c r="C789" s="335"/>
    </row>
    <row r="790" spans="2:3" ht="12.75">
      <c r="B790" s="311">
        <v>2016</v>
      </c>
      <c r="C790" s="311">
        <v>2015</v>
      </c>
    </row>
    <row r="797" ht="12.75">
      <c r="A797" s="206" t="s">
        <v>1077</v>
      </c>
    </row>
    <row r="802" ht="12.75">
      <c r="A802" s="205" t="s">
        <v>1078</v>
      </c>
    </row>
    <row r="803" spans="3:8" ht="12.75">
      <c r="C803" s="337" t="s">
        <v>1079</v>
      </c>
      <c r="D803" s="337"/>
      <c r="E803" s="337"/>
      <c r="F803" s="337" t="s">
        <v>857</v>
      </c>
      <c r="G803" s="337"/>
      <c r="H803" s="337"/>
    </row>
    <row r="804" spans="1:8" ht="12.75">
      <c r="A804" s="205" t="s">
        <v>30</v>
      </c>
      <c r="B804" s="205" t="s">
        <v>1080</v>
      </c>
      <c r="C804" s="314" t="s">
        <v>1081</v>
      </c>
      <c r="D804" s="314" t="s">
        <v>1082</v>
      </c>
      <c r="E804" s="314" t="s">
        <v>1083</v>
      </c>
      <c r="F804" s="314" t="s">
        <v>1081</v>
      </c>
      <c r="G804" s="314" t="s">
        <v>1082</v>
      </c>
      <c r="H804" s="314" t="s">
        <v>1083</v>
      </c>
    </row>
    <row r="805" ht="12.75">
      <c r="A805" s="325" t="s">
        <v>1084</v>
      </c>
    </row>
    <row r="806" ht="12.75">
      <c r="A806" s="325" t="s">
        <v>639</v>
      </c>
    </row>
    <row r="807" ht="12.75">
      <c r="A807" s="325" t="s">
        <v>1085</v>
      </c>
    </row>
    <row r="808" ht="12.75">
      <c r="A808" s="325" t="s">
        <v>1019</v>
      </c>
    </row>
    <row r="809" ht="12.75">
      <c r="A809" s="325" t="s">
        <v>24</v>
      </c>
    </row>
    <row r="810" spans="1:8" ht="12.75">
      <c r="A810" s="325" t="s">
        <v>1062</v>
      </c>
      <c r="C810" s="312"/>
      <c r="D810" s="312"/>
      <c r="E810" s="312"/>
      <c r="F810" s="312"/>
      <c r="G810" s="312"/>
      <c r="H810" s="312"/>
    </row>
    <row r="811" ht="12.75">
      <c r="A811" s="326" t="s">
        <v>1086</v>
      </c>
    </row>
    <row r="812" ht="12.75">
      <c r="A812" s="325" t="s">
        <v>1087</v>
      </c>
    </row>
    <row r="813" ht="12.75">
      <c r="A813" s="325" t="s">
        <v>1088</v>
      </c>
    </row>
    <row r="814" ht="12.75">
      <c r="A814" s="325" t="s">
        <v>294</v>
      </c>
    </row>
    <row r="815" spans="1:8" ht="12.75">
      <c r="A815" s="325" t="s">
        <v>95</v>
      </c>
      <c r="C815" s="312"/>
      <c r="D815" s="312"/>
      <c r="E815" s="312"/>
      <c r="F815" s="312"/>
      <c r="G815" s="312"/>
      <c r="H815" s="312"/>
    </row>
    <row r="816" ht="12.75">
      <c r="A816" s="326" t="s">
        <v>1089</v>
      </c>
    </row>
    <row r="817" ht="12.75">
      <c r="A817" s="325" t="s">
        <v>646</v>
      </c>
    </row>
    <row r="818" spans="1:8" ht="12.75">
      <c r="A818" s="325" t="s">
        <v>647</v>
      </c>
      <c r="C818" s="312"/>
      <c r="D818" s="312"/>
      <c r="E818" s="312"/>
      <c r="F818" s="312"/>
      <c r="G818" s="312"/>
      <c r="H818" s="312"/>
    </row>
    <row r="819" ht="12.75">
      <c r="A819" s="326" t="s">
        <v>648</v>
      </c>
    </row>
    <row r="823" ht="12.75">
      <c r="A823" s="205" t="s">
        <v>1090</v>
      </c>
    </row>
    <row r="824" spans="2:3" ht="12.75">
      <c r="B824" s="316"/>
      <c r="C824" s="316"/>
    </row>
    <row r="825" spans="1:5" ht="12.75">
      <c r="A825" s="205" t="s">
        <v>30</v>
      </c>
      <c r="B825" s="205" t="s">
        <v>1080</v>
      </c>
      <c r="C825" s="314" t="s">
        <v>1081</v>
      </c>
      <c r="D825" s="314" t="s">
        <v>1082</v>
      </c>
      <c r="E825" s="314" t="s">
        <v>1083</v>
      </c>
    </row>
    <row r="826" ht="12.75">
      <c r="A826" s="205" t="s">
        <v>1091</v>
      </c>
    </row>
    <row r="827" spans="1:5" ht="12.75">
      <c r="A827" s="205" t="s">
        <v>1092</v>
      </c>
      <c r="C827" s="312"/>
      <c r="D827" s="312"/>
      <c r="E827" s="312"/>
    </row>
    <row r="828" ht="12.75">
      <c r="A828" s="206" t="s">
        <v>1093</v>
      </c>
    </row>
    <row r="829" spans="1:5" ht="12.75">
      <c r="A829" s="205" t="s">
        <v>1094</v>
      </c>
      <c r="C829" s="312"/>
      <c r="D829" s="312"/>
      <c r="E829" s="312"/>
    </row>
    <row r="830" ht="12.75">
      <c r="A830" s="206" t="s">
        <v>1095</v>
      </c>
    </row>
    <row r="831" ht="12.75">
      <c r="A831" s="205" t="s">
        <v>1096</v>
      </c>
    </row>
    <row r="832" spans="1:5" ht="12.75">
      <c r="A832" s="205" t="s">
        <v>512</v>
      </c>
      <c r="C832" s="312"/>
      <c r="D832" s="312"/>
      <c r="E832" s="312"/>
    </row>
    <row r="833" ht="12.75">
      <c r="A833" s="206" t="s">
        <v>1097</v>
      </c>
    </row>
    <row r="840" ht="12.75">
      <c r="A840" s="206" t="s">
        <v>1098</v>
      </c>
    </row>
    <row r="842" spans="1:3" ht="12.75">
      <c r="A842" s="205" t="s">
        <v>1099</v>
      </c>
      <c r="B842" s="335" t="s">
        <v>782</v>
      </c>
      <c r="C842" s="335"/>
    </row>
    <row r="843" spans="2:3" ht="12.75">
      <c r="B843" s="311">
        <v>2016</v>
      </c>
      <c r="C843" s="311">
        <v>2015</v>
      </c>
    </row>
    <row r="844" ht="25.5">
      <c r="A844" s="314" t="s">
        <v>1100</v>
      </c>
    </row>
    <row r="845" ht="25.5">
      <c r="A845" s="314" t="s">
        <v>1101</v>
      </c>
    </row>
    <row r="846" ht="25.5">
      <c r="A846" s="314" t="s">
        <v>1102</v>
      </c>
    </row>
    <row r="847" ht="25.5">
      <c r="A847" s="314" t="s">
        <v>1103</v>
      </c>
    </row>
    <row r="848" ht="12.75">
      <c r="A848" s="314" t="s">
        <v>1104</v>
      </c>
    </row>
    <row r="849" ht="12.75">
      <c r="A849" s="314" t="s">
        <v>1105</v>
      </c>
    </row>
  </sheetData>
  <sheetProtection/>
  <mergeCells count="60">
    <mergeCell ref="B761:C761"/>
    <mergeCell ref="B774:C774"/>
    <mergeCell ref="B789:C789"/>
    <mergeCell ref="C803:E803"/>
    <mergeCell ref="F803:H803"/>
    <mergeCell ref="B842:C842"/>
    <mergeCell ref="B680:C680"/>
    <mergeCell ref="B687:C687"/>
    <mergeCell ref="B698:C698"/>
    <mergeCell ref="B719:C719"/>
    <mergeCell ref="B733:C733"/>
    <mergeCell ref="B746:C746"/>
    <mergeCell ref="B607:C607"/>
    <mergeCell ref="A625:C625"/>
    <mergeCell ref="B626:C626"/>
    <mergeCell ref="A647:C647"/>
    <mergeCell ref="B649:C649"/>
    <mergeCell ref="B656:C656"/>
    <mergeCell ref="B519:C519"/>
    <mergeCell ref="B542:C542"/>
    <mergeCell ref="B553:C553"/>
    <mergeCell ref="B567:C567"/>
    <mergeCell ref="B575:C575"/>
    <mergeCell ref="B586:C586"/>
    <mergeCell ref="A467:C467"/>
    <mergeCell ref="B469:C469"/>
    <mergeCell ref="B482:C482"/>
    <mergeCell ref="B493:C493"/>
    <mergeCell ref="B498:C498"/>
    <mergeCell ref="B510:C510"/>
    <mergeCell ref="A421:C421"/>
    <mergeCell ref="B423:C423"/>
    <mergeCell ref="B439:C439"/>
    <mergeCell ref="B446:C446"/>
    <mergeCell ref="B452:C452"/>
    <mergeCell ref="B463:C463"/>
    <mergeCell ref="B374:C374"/>
    <mergeCell ref="B381:C381"/>
    <mergeCell ref="B393:C393"/>
    <mergeCell ref="B401:C401"/>
    <mergeCell ref="B407:C407"/>
    <mergeCell ref="B417:C417"/>
    <mergeCell ref="B312:C312"/>
    <mergeCell ref="B321:C321"/>
    <mergeCell ref="B328:C328"/>
    <mergeCell ref="B343:C343"/>
    <mergeCell ref="B354:C354"/>
    <mergeCell ref="B363:C363"/>
    <mergeCell ref="B81:C81"/>
    <mergeCell ref="B123:C123"/>
    <mergeCell ref="B136:C136"/>
    <mergeCell ref="B279:C279"/>
    <mergeCell ref="B292:C292"/>
    <mergeCell ref="B300:C300"/>
    <mergeCell ref="B2:C2"/>
    <mergeCell ref="B14:C14"/>
    <mergeCell ref="B30:C30"/>
    <mergeCell ref="B38:C38"/>
    <mergeCell ref="B49:C49"/>
    <mergeCell ref="B65:C6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="110" zoomScaleNormal="110" zoomScalePageLayoutView="0" workbookViewId="0" topLeftCell="A1">
      <pane ySplit="1" topLeftCell="A2" activePane="bottomLeft" state="frozen"/>
      <selection pane="topLeft" activeCell="D13" sqref="D13"/>
      <selection pane="bottomLeft" activeCell="D13" sqref="D13"/>
    </sheetView>
  </sheetViews>
  <sheetFormatPr defaultColWidth="11.421875" defaultRowHeight="12.75"/>
  <cols>
    <col min="1" max="1" width="9.57421875" style="16" customWidth="1"/>
    <col min="2" max="2" width="30.421875" style="16" customWidth="1"/>
    <col min="3" max="3" width="18.140625" style="16" customWidth="1"/>
    <col min="4" max="4" width="21.00390625" style="16" customWidth="1"/>
    <col min="5" max="5" width="18.57421875" style="16" customWidth="1"/>
    <col min="6" max="9" width="15.28125" style="16" customWidth="1"/>
    <col min="10" max="10" width="19.57421875" style="16" bestFit="1" customWidth="1"/>
    <col min="11" max="13" width="15.28125" style="16" customWidth="1"/>
    <col min="14" max="14" width="11.421875" style="16" customWidth="1"/>
    <col min="15" max="15" width="16.00390625" style="16" customWidth="1"/>
    <col min="16" max="16" width="15.57421875" style="16" bestFit="1" customWidth="1"/>
    <col min="17" max="16384" width="11.421875" style="16" customWidth="1"/>
  </cols>
  <sheetData>
    <row r="1" spans="1:3" s="82" customFormat="1" ht="55.5" customHeight="1">
      <c r="A1" s="84" t="s">
        <v>173</v>
      </c>
      <c r="B1" s="83"/>
      <c r="C1" s="84" t="s">
        <v>174</v>
      </c>
    </row>
    <row r="2" ht="14.25"/>
    <row r="3" ht="15">
      <c r="B3" s="25" t="s">
        <v>490</v>
      </c>
    </row>
    <row r="5" spans="1:5" ht="15">
      <c r="A5" s="69" t="s">
        <v>146</v>
      </c>
      <c r="B5" s="69" t="s">
        <v>221</v>
      </c>
      <c r="C5" s="70"/>
      <c r="D5" s="70"/>
      <c r="E5" s="70"/>
    </row>
    <row r="6" spans="1:7" ht="30">
      <c r="A6" s="71"/>
      <c r="B6" s="72" t="s">
        <v>1</v>
      </c>
      <c r="C6" s="73" t="s">
        <v>52</v>
      </c>
      <c r="D6" s="73" t="s">
        <v>29</v>
      </c>
      <c r="E6" s="177" t="s">
        <v>518</v>
      </c>
      <c r="F6" s="177" t="s">
        <v>521</v>
      </c>
      <c r="G6" s="177" t="s">
        <v>522</v>
      </c>
    </row>
    <row r="7" spans="1:7" ht="14.25">
      <c r="A7" s="7"/>
      <c r="B7" s="7" t="s">
        <v>171</v>
      </c>
      <c r="C7" s="6">
        <v>63254000</v>
      </c>
      <c r="D7" s="6"/>
      <c r="E7" s="6">
        <f>+C7+D7</f>
        <v>63254000</v>
      </c>
      <c r="F7" s="7"/>
      <c r="G7" s="7"/>
    </row>
    <row r="8" spans="1:7" ht="14.25">
      <c r="A8" s="7"/>
      <c r="B8" s="7" t="s">
        <v>119</v>
      </c>
      <c r="C8" s="6">
        <v>0</v>
      </c>
      <c r="D8" s="6">
        <v>112525000</v>
      </c>
      <c r="E8" s="6">
        <f>+C8+D8</f>
        <v>112525000</v>
      </c>
      <c r="F8" s="7"/>
      <c r="G8" s="7"/>
    </row>
    <row r="9" spans="1:7" ht="14.25">
      <c r="A9" s="7"/>
      <c r="B9" s="7" t="s">
        <v>120</v>
      </c>
      <c r="C9" s="6">
        <v>0</v>
      </c>
      <c r="D9" s="6">
        <v>425000000</v>
      </c>
      <c r="E9" s="6">
        <f>+C9+D9</f>
        <v>425000000</v>
      </c>
      <c r="F9" s="7"/>
      <c r="G9" s="7"/>
    </row>
    <row r="10" spans="1:7" ht="14.25">
      <c r="A10" s="7"/>
      <c r="B10" s="7" t="s">
        <v>172</v>
      </c>
      <c r="C10" s="6">
        <v>185000000</v>
      </c>
      <c r="D10" s="6"/>
      <c r="E10" s="6">
        <f>+C10+D10</f>
        <v>185000000</v>
      </c>
      <c r="F10" s="7"/>
      <c r="G10" s="7"/>
    </row>
    <row r="11" spans="1:8" ht="15">
      <c r="A11" s="7"/>
      <c r="B11" s="11" t="s">
        <v>128</v>
      </c>
      <c r="C11" s="8">
        <f>SUM(C7:C10)</f>
        <v>248254000</v>
      </c>
      <c r="D11" s="8">
        <f>SUM(D7:D10)</f>
        <v>537525000</v>
      </c>
      <c r="E11" s="8">
        <f>SUM(E7:E10)</f>
        <v>785779000</v>
      </c>
      <c r="F11" s="8">
        <f>SUM(F7:F10)</f>
        <v>0</v>
      </c>
      <c r="G11" s="8">
        <f>SUM(G7:G10)</f>
        <v>0</v>
      </c>
      <c r="H11" s="16" t="s">
        <v>0</v>
      </c>
    </row>
    <row r="12" spans="3:8" ht="14.25">
      <c r="C12" s="32"/>
      <c r="D12" s="32"/>
      <c r="H12" s="16" t="s">
        <v>0</v>
      </c>
    </row>
    <row r="13" spans="5:8" ht="15">
      <c r="E13" s="160">
        <f>+'Bal prueba 010115'!F6</f>
        <v>248254000</v>
      </c>
      <c r="H13" s="16" t="s">
        <v>0</v>
      </c>
    </row>
  </sheetData>
  <sheetProtection/>
  <printOptions/>
  <pageMargins left="0.3937007874015748" right="0.3937007874015748" top="0.3937007874015748" bottom="0.3937007874015748" header="0" footer="0"/>
  <pageSetup horizontalDpi="120" verticalDpi="12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9"/>
  <sheetViews>
    <sheetView showGridLines="0" zoomScalePageLayoutView="0" workbookViewId="0" topLeftCell="A1">
      <pane ySplit="1" topLeftCell="A2" activePane="bottomLeft" state="frozen"/>
      <selection pane="topLeft" activeCell="D13" sqref="D13"/>
      <selection pane="bottomLeft" activeCell="D13" sqref="D13"/>
    </sheetView>
  </sheetViews>
  <sheetFormatPr defaultColWidth="11.421875" defaultRowHeight="12.75"/>
  <cols>
    <col min="1" max="1" width="11.421875" style="2" customWidth="1"/>
    <col min="2" max="2" width="36.28125" style="2" customWidth="1"/>
    <col min="3" max="3" width="19.28125" style="13" customWidth="1"/>
    <col min="4" max="4" width="21.7109375" style="13" customWidth="1"/>
    <col min="5" max="5" width="20.28125" style="13" customWidth="1"/>
    <col min="6" max="6" width="20.140625" style="2" customWidth="1"/>
    <col min="7" max="7" width="18.57421875" style="2" customWidth="1"/>
    <col min="8" max="8" width="15.57421875" style="2" bestFit="1" customWidth="1"/>
    <col min="9" max="9" width="19.28125" style="2" customWidth="1"/>
    <col min="10" max="10" width="17.28125" style="2" customWidth="1"/>
    <col min="11" max="16384" width="11.421875" style="2" customWidth="1"/>
  </cols>
  <sheetData>
    <row r="1" spans="1:3" s="82" customFormat="1" ht="55.5" customHeight="1">
      <c r="A1" s="84" t="s">
        <v>173</v>
      </c>
      <c r="B1" s="83"/>
      <c r="C1" s="84" t="s">
        <v>174</v>
      </c>
    </row>
    <row r="2" ht="14.25"/>
    <row r="3" ht="15">
      <c r="B3" s="1" t="s">
        <v>517</v>
      </c>
    </row>
    <row r="4" ht="15">
      <c r="I4" s="18"/>
    </row>
    <row r="5" spans="1:9" ht="15">
      <c r="A5" s="1" t="s">
        <v>185</v>
      </c>
      <c r="I5" s="13"/>
    </row>
    <row r="6" spans="1:7" ht="30">
      <c r="A6" s="72" t="s">
        <v>146</v>
      </c>
      <c r="B6" s="86" t="s">
        <v>1</v>
      </c>
      <c r="C6" s="86" t="s">
        <v>519</v>
      </c>
      <c r="D6" s="86" t="s">
        <v>520</v>
      </c>
      <c r="E6" s="86" t="s">
        <v>518</v>
      </c>
      <c r="F6" s="86" t="s">
        <v>521</v>
      </c>
      <c r="G6" s="86" t="s">
        <v>522</v>
      </c>
    </row>
    <row r="7" spans="1:11" ht="14.25">
      <c r="A7" s="5"/>
      <c r="B7" s="5" t="s">
        <v>229</v>
      </c>
      <c r="C7" s="6">
        <v>44000000</v>
      </c>
      <c r="D7" s="6">
        <v>61000000</v>
      </c>
      <c r="E7" s="6">
        <v>105000000</v>
      </c>
      <c r="F7" s="6">
        <v>145000000</v>
      </c>
      <c r="G7" s="6">
        <v>345000000</v>
      </c>
      <c r="H7" s="2" t="s">
        <v>523</v>
      </c>
      <c r="K7" s="13"/>
    </row>
    <row r="8" spans="1:11" ht="14.25">
      <c r="A8" s="5"/>
      <c r="B8" s="5" t="s">
        <v>230</v>
      </c>
      <c r="C8" s="6">
        <v>1148000000</v>
      </c>
      <c r="D8" s="6">
        <v>1968000000</v>
      </c>
      <c r="E8" s="6">
        <v>3116000000</v>
      </c>
      <c r="F8" s="6">
        <v>2156000000</v>
      </c>
      <c r="G8" s="6">
        <v>2758000000</v>
      </c>
      <c r="H8" s="2" t="s">
        <v>523</v>
      </c>
      <c r="K8" s="13"/>
    </row>
    <row r="9" spans="1:11" ht="14.25">
      <c r="A9" s="5"/>
      <c r="B9" s="5" t="s">
        <v>285</v>
      </c>
      <c r="C9" s="6">
        <v>456000000</v>
      </c>
      <c r="D9" s="6">
        <v>894000000</v>
      </c>
      <c r="E9" s="6">
        <v>456000000</v>
      </c>
      <c r="F9" s="6">
        <f>+E9</f>
        <v>456000000</v>
      </c>
      <c r="G9" s="6">
        <f>+F9</f>
        <v>456000000</v>
      </c>
      <c r="H9" s="2" t="s">
        <v>524</v>
      </c>
      <c r="K9" s="13"/>
    </row>
    <row r="10" spans="1:11" ht="15">
      <c r="A10" s="5"/>
      <c r="B10" s="3" t="s">
        <v>514</v>
      </c>
      <c r="C10" s="8">
        <f>+C7+C8+C9</f>
        <v>1648000000</v>
      </c>
      <c r="D10" s="8">
        <f>+D7+D8+D9</f>
        <v>2923000000</v>
      </c>
      <c r="E10" s="8">
        <f>+E7+E8+E9</f>
        <v>3677000000</v>
      </c>
      <c r="F10" s="8">
        <f>+F7+F8+F9</f>
        <v>2757000000</v>
      </c>
      <c r="G10" s="8">
        <f>+G7+G8+G9</f>
        <v>3559000000</v>
      </c>
      <c r="K10" s="13"/>
    </row>
    <row r="11" spans="1:11" ht="14.25">
      <c r="A11" s="5"/>
      <c r="B11" s="5" t="s">
        <v>282</v>
      </c>
      <c r="C11" s="6">
        <v>756000000</v>
      </c>
      <c r="D11" s="6">
        <v>94000000</v>
      </c>
      <c r="E11" s="6">
        <v>850000000</v>
      </c>
      <c r="F11" s="6">
        <f>+E11</f>
        <v>850000000</v>
      </c>
      <c r="G11" s="6">
        <f>+F11</f>
        <v>850000000</v>
      </c>
      <c r="H11" s="2" t="s">
        <v>524</v>
      </c>
      <c r="K11" s="13"/>
    </row>
    <row r="12" spans="1:11" ht="15.75" customHeight="1">
      <c r="A12" s="5"/>
      <c r="B12" s="175" t="s">
        <v>516</v>
      </c>
      <c r="C12" s="8">
        <f>+C11</f>
        <v>756000000</v>
      </c>
      <c r="D12" s="8">
        <f>+D11</f>
        <v>94000000</v>
      </c>
      <c r="E12" s="8">
        <f>+E11</f>
        <v>850000000</v>
      </c>
      <c r="F12" s="8">
        <f>+F11</f>
        <v>850000000</v>
      </c>
      <c r="G12" s="8">
        <f>+G11</f>
        <v>850000000</v>
      </c>
      <c r="K12" s="13"/>
    </row>
    <row r="13" spans="1:13" ht="30">
      <c r="A13" s="71"/>
      <c r="B13" s="87" t="s">
        <v>515</v>
      </c>
      <c r="C13" s="79">
        <f>+C7+C8+C9+C11</f>
        <v>2404000000</v>
      </c>
      <c r="D13" s="79">
        <f>+D7+D8+D9+D11</f>
        <v>3017000000</v>
      </c>
      <c r="E13" s="79">
        <f>+E7+E8+E9+E11</f>
        <v>4527000000</v>
      </c>
      <c r="F13" s="79">
        <f>+F7+F8+F9+F11</f>
        <v>3607000000</v>
      </c>
      <c r="G13" s="79">
        <f>+G7+G8+G9+G11</f>
        <v>4409000000</v>
      </c>
      <c r="K13" s="13"/>
      <c r="M13" s="13"/>
    </row>
    <row r="14" spans="1:13" s="16" customFormat="1" ht="15">
      <c r="A14" s="29"/>
      <c r="B14" s="176"/>
      <c r="C14" s="27"/>
      <c r="D14" s="27"/>
      <c r="E14" s="27"/>
      <c r="F14" s="17"/>
      <c r="G14" s="17"/>
      <c r="H14" s="17"/>
      <c r="K14" s="17"/>
      <c r="M14" s="17"/>
    </row>
    <row r="15" spans="1:13" s="16" customFormat="1" ht="15">
      <c r="A15" s="29"/>
      <c r="B15" s="176"/>
      <c r="C15" s="27"/>
      <c r="D15" s="27"/>
      <c r="E15" s="27"/>
      <c r="F15" s="27"/>
      <c r="G15" s="27"/>
      <c r="H15" s="27"/>
      <c r="K15" s="17"/>
      <c r="M15" s="17"/>
    </row>
    <row r="16" spans="2:10" s="16" customFormat="1" ht="15">
      <c r="B16" s="25" t="s">
        <v>186</v>
      </c>
      <c r="C16" s="17"/>
      <c r="D16" s="27"/>
      <c r="E16" s="27"/>
      <c r="F16" s="27"/>
      <c r="G16" s="27"/>
      <c r="H16" s="27"/>
      <c r="J16" s="32"/>
    </row>
    <row r="17" spans="2:8" s="16" customFormat="1" ht="15">
      <c r="B17" s="177" t="s">
        <v>30</v>
      </c>
      <c r="C17" s="177" t="s">
        <v>518</v>
      </c>
      <c r="D17" s="177" t="s">
        <v>521</v>
      </c>
      <c r="E17" s="177" t="s">
        <v>522</v>
      </c>
      <c r="H17" s="27"/>
    </row>
    <row r="18" spans="2:8" s="16" customFormat="1" ht="15">
      <c r="B18" s="7" t="str">
        <f aca="true" t="shared" si="0" ref="B18:B24">+B7</f>
        <v>Davivienda - preferencial (0.94%)</v>
      </c>
      <c r="C18" s="6">
        <f aca="true" t="shared" si="1" ref="C18:E19">+E7</f>
        <v>105000000</v>
      </c>
      <c r="D18" s="6">
        <f t="shared" si="1"/>
        <v>145000000</v>
      </c>
      <c r="E18" s="6">
        <f t="shared" si="1"/>
        <v>345000000</v>
      </c>
      <c r="H18" s="27"/>
    </row>
    <row r="19" spans="2:8" s="16" customFormat="1" ht="15">
      <c r="B19" s="7" t="str">
        <f t="shared" si="0"/>
        <v>Ecopetrol (0.22%)</v>
      </c>
      <c r="C19" s="6">
        <f t="shared" si="1"/>
        <v>3116000000</v>
      </c>
      <c r="D19" s="6">
        <f t="shared" si="1"/>
        <v>2156000000</v>
      </c>
      <c r="E19" s="6">
        <f t="shared" si="1"/>
        <v>2758000000</v>
      </c>
      <c r="H19" s="27"/>
    </row>
    <row r="20" spans="2:8" s="16" customFormat="1" ht="15">
      <c r="B20" s="7" t="str">
        <f t="shared" si="0"/>
        <v>Agroindustrias LVG Ltda. (5%)</v>
      </c>
      <c r="C20" s="6">
        <f>+C9</f>
        <v>456000000</v>
      </c>
      <c r="D20" s="6">
        <f>+C20</f>
        <v>456000000</v>
      </c>
      <c r="E20" s="6">
        <f>+D20</f>
        <v>456000000</v>
      </c>
      <c r="H20" s="27"/>
    </row>
    <row r="21" spans="2:8" s="16" customFormat="1" ht="15">
      <c r="B21" s="11" t="str">
        <f t="shared" si="0"/>
        <v>Subtotal otros activos financieros</v>
      </c>
      <c r="C21" s="8">
        <f>SUM(C18:C20)</f>
        <v>3677000000</v>
      </c>
      <c r="D21" s="8">
        <f>SUM(D18:D20)</f>
        <v>2757000000</v>
      </c>
      <c r="E21" s="8">
        <f>SUM(E18:E20)</f>
        <v>3559000000</v>
      </c>
      <c r="H21" s="27"/>
    </row>
    <row r="22" spans="2:8" s="16" customFormat="1" ht="15">
      <c r="B22" s="7" t="str">
        <f t="shared" si="0"/>
        <v>Construcciones Lvg SAS (100%)</v>
      </c>
      <c r="C22" s="6">
        <f>+C11</f>
        <v>756000000</v>
      </c>
      <c r="D22" s="6">
        <f>+C22</f>
        <v>756000000</v>
      </c>
      <c r="E22" s="6">
        <f>+D22</f>
        <v>756000000</v>
      </c>
      <c r="H22" s="27"/>
    </row>
    <row r="23" spans="2:8" s="16" customFormat="1" ht="15">
      <c r="B23" s="11" t="str">
        <f t="shared" si="0"/>
        <v>Subtotal inversiones en subsidiarias</v>
      </c>
      <c r="C23" s="8">
        <f>+C22</f>
        <v>756000000</v>
      </c>
      <c r="D23" s="8">
        <f>+D22</f>
        <v>756000000</v>
      </c>
      <c r="E23" s="8">
        <f>+E22</f>
        <v>756000000</v>
      </c>
      <c r="H23" s="27"/>
    </row>
    <row r="24" spans="2:5" s="16" customFormat="1" ht="15">
      <c r="B24" s="11" t="str">
        <f t="shared" si="0"/>
        <v>Total instrumentos de patrimonio</v>
      </c>
      <c r="C24" s="8">
        <f>+C23+C21</f>
        <v>4433000000</v>
      </c>
      <c r="D24" s="8">
        <f>+D23+D21</f>
        <v>3513000000</v>
      </c>
      <c r="E24" s="8">
        <f>+E23+E21</f>
        <v>4315000000</v>
      </c>
    </row>
    <row r="25" spans="2:5" s="16" customFormat="1" ht="15">
      <c r="B25" s="25"/>
      <c r="C25" s="17"/>
      <c r="D25" s="17"/>
      <c r="E25" s="17"/>
    </row>
    <row r="26" ht="15">
      <c r="B26" s="1"/>
    </row>
    <row r="27" spans="2:5" ht="15">
      <c r="B27" s="1" t="s">
        <v>525</v>
      </c>
      <c r="D27" s="177" t="s">
        <v>521</v>
      </c>
      <c r="E27" s="177" t="s">
        <v>522</v>
      </c>
    </row>
    <row r="28" spans="2:5" ht="14.25">
      <c r="B28" s="2" t="s">
        <v>240</v>
      </c>
      <c r="D28" s="24">
        <f>+F7-E7</f>
        <v>40000000</v>
      </c>
      <c r="E28" s="24">
        <f>+G7-F7</f>
        <v>200000000</v>
      </c>
    </row>
    <row r="29" spans="2:5" ht="14.25">
      <c r="B29" s="2" t="s">
        <v>240</v>
      </c>
      <c r="D29" s="24">
        <f>+F8-E8</f>
        <v>-960000000</v>
      </c>
      <c r="E29" s="24">
        <f>+G8-F8</f>
        <v>602000000</v>
      </c>
    </row>
    <row r="30" spans="2:5" ht="14.25">
      <c r="B30" s="2" t="s">
        <v>526</v>
      </c>
      <c r="D30" s="24">
        <f>-D28-D29</f>
        <v>920000000</v>
      </c>
      <c r="E30" s="24">
        <f>-E28-E29</f>
        <v>-802000000</v>
      </c>
    </row>
    <row r="31" spans="2:5" ht="15">
      <c r="B31" s="1"/>
      <c r="D31" s="178">
        <f>SUM(D28:D30)</f>
        <v>0</v>
      </c>
      <c r="E31" s="178">
        <f>SUM(E28:E30)</f>
        <v>0</v>
      </c>
    </row>
    <row r="32" ht="15">
      <c r="B32" s="1"/>
    </row>
    <row r="33" ht="15">
      <c r="B33" s="1"/>
    </row>
    <row r="37" spans="3:5" s="121" customFormat="1" ht="14.25">
      <c r="C37" s="118"/>
      <c r="D37" s="118"/>
      <c r="E37" s="118"/>
    </row>
    <row r="39" spans="1:7" ht="15">
      <c r="A39" s="72" t="s">
        <v>146</v>
      </c>
      <c r="B39" s="86" t="s">
        <v>1</v>
      </c>
      <c r="C39" s="86" t="s">
        <v>228</v>
      </c>
      <c r="D39" s="86" t="s">
        <v>29</v>
      </c>
      <c r="E39" s="86" t="s">
        <v>518</v>
      </c>
      <c r="F39" s="86" t="s">
        <v>521</v>
      </c>
      <c r="G39" s="86" t="s">
        <v>522</v>
      </c>
    </row>
    <row r="40" spans="1:7" ht="14.25">
      <c r="A40" s="5">
        <v>126001</v>
      </c>
      <c r="B40" s="7" t="s">
        <v>243</v>
      </c>
      <c r="C40" s="6">
        <v>650000000</v>
      </c>
      <c r="D40" s="6">
        <f>-C40</f>
        <v>-650000000</v>
      </c>
      <c r="E40" s="6"/>
      <c r="F40" s="6"/>
      <c r="G40" s="6"/>
    </row>
    <row r="41" spans="1:7" ht="14.25">
      <c r="A41" s="5"/>
      <c r="B41" s="7"/>
      <c r="C41" s="6"/>
      <c r="D41" s="6"/>
      <c r="E41" s="6"/>
      <c r="F41" s="6"/>
      <c r="G41" s="6"/>
    </row>
    <row r="42" spans="1:7" ht="15">
      <c r="A42" s="71"/>
      <c r="B42" s="87" t="s">
        <v>244</v>
      </c>
      <c r="C42" s="79">
        <f>SUM(C40:C41)</f>
        <v>650000000</v>
      </c>
      <c r="D42" s="79">
        <f>SUM(D40:D41)</f>
        <v>-650000000</v>
      </c>
      <c r="E42" s="79">
        <f>SUM(E40:E41)</f>
        <v>0</v>
      </c>
      <c r="F42" s="79">
        <f>SUM(F40:F41)</f>
        <v>0</v>
      </c>
      <c r="G42" s="79">
        <f>SUM(G40:G41)</f>
        <v>0</v>
      </c>
    </row>
    <row r="45" ht="14.25">
      <c r="A45" s="2" t="s">
        <v>286</v>
      </c>
    </row>
    <row r="47" ht="14.25">
      <c r="A47" s="2" t="s">
        <v>393</v>
      </c>
    </row>
    <row r="48" ht="14.25">
      <c r="A48" s="2" t="s">
        <v>394</v>
      </c>
    </row>
    <row r="49" ht="14.25">
      <c r="A49" s="2" t="s">
        <v>245</v>
      </c>
    </row>
    <row r="51" spans="1:3" ht="14.25">
      <c r="A51" s="2" t="s">
        <v>246</v>
      </c>
      <c r="C51" s="13" t="s">
        <v>262</v>
      </c>
    </row>
    <row r="52" spans="1:3" ht="14.25">
      <c r="A52" s="2" t="s">
        <v>263</v>
      </c>
      <c r="C52" s="13">
        <f>+C40</f>
        <v>650000000</v>
      </c>
    </row>
    <row r="53" spans="1:3" ht="14.25">
      <c r="A53" s="2" t="s">
        <v>264</v>
      </c>
      <c r="C53" s="13" t="s">
        <v>265</v>
      </c>
    </row>
    <row r="54" spans="1:4" ht="14.25">
      <c r="A54" s="2" t="s">
        <v>266</v>
      </c>
      <c r="C54" s="13">
        <f>+(100000000)*2*50%</f>
        <v>100000000</v>
      </c>
      <c r="D54" s="163"/>
    </row>
    <row r="56" spans="1:4" ht="15">
      <c r="A56" s="1" t="s">
        <v>287</v>
      </c>
      <c r="B56" s="1"/>
      <c r="C56" s="47">
        <f>+(C52-C54)/120*(6.5+24)</f>
        <v>139791666.66666666</v>
      </c>
      <c r="D56" s="47" t="s">
        <v>267</v>
      </c>
    </row>
    <row r="62" spans="3:5" s="121" customFormat="1" ht="14.25">
      <c r="C62" s="118"/>
      <c r="D62" s="118"/>
      <c r="E62" s="118"/>
    </row>
    <row r="64" spans="1:5" ht="15">
      <c r="A64" s="72" t="s">
        <v>146</v>
      </c>
      <c r="B64" s="86" t="s">
        <v>1</v>
      </c>
      <c r="C64" s="86" t="s">
        <v>228</v>
      </c>
      <c r="D64" s="86" t="s">
        <v>29</v>
      </c>
      <c r="E64" s="86" t="s">
        <v>145</v>
      </c>
    </row>
    <row r="65" spans="1:5" ht="14.25">
      <c r="A65" s="5">
        <v>122505</v>
      </c>
      <c r="B65" s="7" t="s">
        <v>295</v>
      </c>
      <c r="C65" s="6">
        <v>120000000</v>
      </c>
      <c r="D65" s="6">
        <f>SUM(C76:C82)-0.51</f>
        <v>698548.0019165267</v>
      </c>
      <c r="E65" s="6">
        <f>+C65+D65</f>
        <v>120698548.00191653</v>
      </c>
    </row>
    <row r="66" spans="1:5" ht="14.25">
      <c r="A66" s="5"/>
      <c r="B66" s="7"/>
      <c r="C66" s="6"/>
      <c r="D66" s="6"/>
      <c r="E66" s="6"/>
    </row>
    <row r="67" spans="1:5" ht="15">
      <c r="A67" s="71"/>
      <c r="B67" s="87" t="s">
        <v>244</v>
      </c>
      <c r="C67" s="79">
        <f>SUM(C65:C66)</f>
        <v>120000000</v>
      </c>
      <c r="D67" s="79">
        <f>SUM(D65:D66)</f>
        <v>698548.0019165267</v>
      </c>
      <c r="E67" s="79">
        <f>SUM(E65:E66)</f>
        <v>120698548.00191653</v>
      </c>
    </row>
    <row r="69" ht="14.25">
      <c r="A69" s="2" t="s">
        <v>296</v>
      </c>
    </row>
    <row r="70" ht="14.25">
      <c r="F70" s="13"/>
    </row>
    <row r="72" spans="1:5" s="16" customFormat="1" ht="15">
      <c r="A72" s="25" t="s">
        <v>298</v>
      </c>
      <c r="C72" s="17"/>
      <c r="D72" s="17"/>
      <c r="E72" s="17"/>
    </row>
    <row r="73" spans="1:4" ht="14.25">
      <c r="A73" s="2" t="s">
        <v>297</v>
      </c>
      <c r="B73" s="12">
        <f>+C65</f>
        <v>120000000</v>
      </c>
      <c r="C73" s="13" t="s">
        <v>202</v>
      </c>
      <c r="D73" s="139">
        <v>0.01</v>
      </c>
    </row>
    <row r="74" spans="2:4" ht="14.25">
      <c r="B74" s="2" t="s">
        <v>59</v>
      </c>
      <c r="C74" s="13" t="s">
        <v>60</v>
      </c>
      <c r="D74" s="13" t="s">
        <v>68</v>
      </c>
    </row>
    <row r="75" spans="2:4" ht="14.25">
      <c r="B75" s="12">
        <f>-B73</f>
        <v>-120000000</v>
      </c>
      <c r="D75" s="13">
        <f>-B75</f>
        <v>120000000</v>
      </c>
    </row>
    <row r="76" spans="1:5" ht="14.25">
      <c r="A76" s="129">
        <v>41791</v>
      </c>
      <c r="B76" s="2">
        <v>0</v>
      </c>
      <c r="C76" s="118">
        <f>+D75*$B$88</f>
        <v>99544.57372153946</v>
      </c>
      <c r="D76" s="13">
        <f>+D75+C76-B76</f>
        <v>120099544.57372154</v>
      </c>
      <c r="E76" s="142"/>
    </row>
    <row r="77" spans="1:5" ht="14.25">
      <c r="A77" s="129">
        <v>41821</v>
      </c>
      <c r="B77" s="2">
        <v>0</v>
      </c>
      <c r="C77" s="118">
        <f aca="true" t="shared" si="2" ref="C77:C87">+D76*$B$88</f>
        <v>99627.14973951783</v>
      </c>
      <c r="D77" s="13">
        <f aca="true" t="shared" si="3" ref="D77:D86">+D76+C77-B77</f>
        <v>120199171.72346106</v>
      </c>
      <c r="E77" s="142"/>
    </row>
    <row r="78" spans="1:5" ht="14.25">
      <c r="A78" s="129">
        <v>41852</v>
      </c>
      <c r="B78" s="2">
        <v>0</v>
      </c>
      <c r="C78" s="118">
        <f t="shared" si="2"/>
        <v>99709.79425745043</v>
      </c>
      <c r="D78" s="13">
        <f t="shared" si="3"/>
        <v>120298881.51771851</v>
      </c>
      <c r="E78" s="142"/>
    </row>
    <row r="79" spans="1:5" ht="14.25">
      <c r="A79" s="129">
        <v>41883</v>
      </c>
      <c r="B79" s="2">
        <v>0</v>
      </c>
      <c r="C79" s="118">
        <f t="shared" si="2"/>
        <v>99792.50733216059</v>
      </c>
      <c r="D79" s="13">
        <f t="shared" si="3"/>
        <v>120398674.02505067</v>
      </c>
      <c r="E79" s="142"/>
    </row>
    <row r="80" spans="1:5" ht="14.25">
      <c r="A80" s="129">
        <v>41913</v>
      </c>
      <c r="B80" s="2">
        <v>0</v>
      </c>
      <c r="C80" s="118">
        <f t="shared" si="2"/>
        <v>99875.28902051879</v>
      </c>
      <c r="D80" s="13">
        <f t="shared" si="3"/>
        <v>120498549.3140712</v>
      </c>
      <c r="E80" s="142"/>
    </row>
    <row r="81" spans="1:5" ht="14.25">
      <c r="A81" s="129">
        <v>41944</v>
      </c>
      <c r="B81" s="2">
        <v>0</v>
      </c>
      <c r="C81" s="118">
        <f t="shared" si="2"/>
        <v>99958.13937944265</v>
      </c>
      <c r="D81" s="13">
        <f t="shared" si="3"/>
        <v>120598507.45345064</v>
      </c>
      <c r="E81" s="142"/>
    </row>
    <row r="82" spans="1:5" ht="14.25">
      <c r="A82" s="129">
        <v>41974</v>
      </c>
      <c r="B82" s="2">
        <v>0</v>
      </c>
      <c r="C82" s="118">
        <f t="shared" si="2"/>
        <v>100041.05846589703</v>
      </c>
      <c r="D82" s="13">
        <f t="shared" si="3"/>
        <v>120698548.51191653</v>
      </c>
      <c r="E82" s="142"/>
    </row>
    <row r="83" spans="1:5" ht="14.25">
      <c r="A83" s="129">
        <v>42005</v>
      </c>
      <c r="B83" s="2">
        <v>0</v>
      </c>
      <c r="C83" s="178">
        <f t="shared" si="2"/>
        <v>100124.04633689403</v>
      </c>
      <c r="D83" s="13">
        <f t="shared" si="3"/>
        <v>120798672.55825342</v>
      </c>
      <c r="E83" s="142"/>
    </row>
    <row r="84" spans="1:5" ht="14.25">
      <c r="A84" s="129">
        <v>42036</v>
      </c>
      <c r="B84" s="2">
        <v>0</v>
      </c>
      <c r="C84" s="178">
        <f t="shared" si="2"/>
        <v>100207.10304949303</v>
      </c>
      <c r="D84" s="13">
        <f t="shared" si="3"/>
        <v>120898879.66130291</v>
      </c>
      <c r="E84" s="142"/>
    </row>
    <row r="85" spans="1:5" ht="14.25">
      <c r="A85" s="129">
        <v>42064</v>
      </c>
      <c r="B85" s="2">
        <v>0</v>
      </c>
      <c r="C85" s="178">
        <f t="shared" si="2"/>
        <v>100290.2286608008</v>
      </c>
      <c r="D85" s="13">
        <f t="shared" si="3"/>
        <v>120999169.88996372</v>
      </c>
      <c r="E85" s="142"/>
    </row>
    <row r="86" spans="1:5" ht="14.25">
      <c r="A86" s="129">
        <v>42095</v>
      </c>
      <c r="B86" s="2">
        <v>0</v>
      </c>
      <c r="C86" s="178">
        <f t="shared" si="2"/>
        <v>100373.42322797143</v>
      </c>
      <c r="D86" s="13">
        <f t="shared" si="3"/>
        <v>121099543.31319168</v>
      </c>
      <c r="E86" s="142"/>
    </row>
    <row r="87" spans="1:5" ht="14.25">
      <c r="A87" s="129">
        <v>42125</v>
      </c>
      <c r="B87" s="13">
        <f>+B73+B73*D73</f>
        <v>121200000</v>
      </c>
      <c r="C87" s="178">
        <f t="shared" si="2"/>
        <v>100456.68680820642</v>
      </c>
      <c r="D87" s="118">
        <f>+D86+C87-B87</f>
        <v>0</v>
      </c>
      <c r="E87" s="142"/>
    </row>
    <row r="88" spans="2:3" ht="14.25">
      <c r="B88" s="140">
        <f>+IRR(B75:B87)</f>
        <v>0.0008295381143461622</v>
      </c>
      <c r="C88" s="13" t="s">
        <v>69</v>
      </c>
    </row>
    <row r="89" spans="2:3" ht="14.25">
      <c r="B89" s="140">
        <f>+(1+D73)^(1/12)-1</f>
        <v>0.0008295381143461622</v>
      </c>
      <c r="C89" s="13" t="s">
        <v>69</v>
      </c>
    </row>
    <row r="90" ht="14.25">
      <c r="B90" s="141">
        <f>+NPV(B88,B76:B87)</f>
        <v>120000000.00000007</v>
      </c>
    </row>
    <row r="91" ht="14.25">
      <c r="B91" s="140"/>
    </row>
    <row r="94" ht="15">
      <c r="B94" s="1" t="s">
        <v>530</v>
      </c>
    </row>
    <row r="95" spans="2:4" ht="14.25">
      <c r="B95" s="2" t="s">
        <v>531</v>
      </c>
      <c r="D95" s="13">
        <f>SUM(C83:C87)</f>
        <v>501451.4880833657</v>
      </c>
    </row>
    <row r="96" spans="2:3" ht="14.25">
      <c r="B96" s="2" t="s">
        <v>240</v>
      </c>
      <c r="C96" s="13">
        <f>+D95</f>
        <v>501451.4880833657</v>
      </c>
    </row>
    <row r="98" spans="2:4" ht="14.25">
      <c r="B98" s="2" t="s">
        <v>240</v>
      </c>
      <c r="D98" s="13">
        <f>+B87</f>
        <v>121200000</v>
      </c>
    </row>
    <row r="99" spans="2:3" ht="14.25">
      <c r="B99" s="2" t="s">
        <v>532</v>
      </c>
      <c r="C99" s="13">
        <f>+D98</f>
        <v>121200000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34"/>
  <sheetViews>
    <sheetView showGridLines="0" zoomScale="110" zoomScaleNormal="110" zoomScalePageLayoutView="0" workbookViewId="0" topLeftCell="A1">
      <pane ySplit="1" topLeftCell="A25" activePane="bottomLeft" state="frozen"/>
      <selection pane="topLeft" activeCell="D13" sqref="D13"/>
      <selection pane="bottomLeft" activeCell="D13" sqref="D13"/>
    </sheetView>
  </sheetViews>
  <sheetFormatPr defaultColWidth="11.421875" defaultRowHeight="12.75"/>
  <cols>
    <col min="1" max="1" width="11.421875" style="16" customWidth="1"/>
    <col min="2" max="2" width="33.140625" style="16" customWidth="1"/>
    <col min="3" max="3" width="18.140625" style="16" customWidth="1"/>
    <col min="4" max="4" width="21.00390625" style="16" customWidth="1"/>
    <col min="5" max="5" width="18.57421875" style="16" customWidth="1"/>
    <col min="6" max="6" width="20.00390625" style="16" customWidth="1"/>
    <col min="7" max="7" width="19.421875" style="16" customWidth="1"/>
    <col min="8" max="8" width="15.28125" style="16" customWidth="1"/>
    <col min="9" max="9" width="18.140625" style="16" customWidth="1"/>
    <col min="10" max="10" width="20.140625" style="16" bestFit="1" customWidth="1"/>
    <col min="11" max="11" width="15.28125" style="16" customWidth="1"/>
    <col min="12" max="12" width="20.140625" style="16" customWidth="1"/>
    <col min="13" max="13" width="18.7109375" style="16" customWidth="1"/>
    <col min="14" max="14" width="18.8515625" style="16" bestFit="1" customWidth="1"/>
    <col min="15" max="15" width="16.00390625" style="16" customWidth="1"/>
    <col min="16" max="16" width="15.57421875" style="16" bestFit="1" customWidth="1"/>
    <col min="17" max="17" width="21.140625" style="16" bestFit="1" customWidth="1"/>
    <col min="18" max="18" width="18.57421875" style="16" customWidth="1"/>
    <col min="19" max="19" width="17.00390625" style="16" bestFit="1" customWidth="1"/>
    <col min="20" max="20" width="19.7109375" style="16" customWidth="1"/>
    <col min="21" max="16384" width="11.421875" style="16" customWidth="1"/>
  </cols>
  <sheetData>
    <row r="1" spans="1:3" s="82" customFormat="1" ht="55.5" customHeight="1">
      <c r="A1" s="84" t="s">
        <v>173</v>
      </c>
      <c r="B1" s="83"/>
      <c r="C1" s="84" t="s">
        <v>174</v>
      </c>
    </row>
    <row r="2" ht="14.25"/>
    <row r="3" ht="15">
      <c r="B3" s="25" t="s">
        <v>178</v>
      </c>
    </row>
    <row r="4" ht="14.25"/>
    <row r="5" spans="1:16" ht="15">
      <c r="A5" s="74"/>
      <c r="B5" s="75" t="s">
        <v>163</v>
      </c>
      <c r="C5" s="74"/>
      <c r="D5" s="74"/>
      <c r="E5" s="338" t="s">
        <v>555</v>
      </c>
      <c r="F5" s="338"/>
      <c r="P5" s="34"/>
    </row>
    <row r="6" spans="1:16" ht="15">
      <c r="A6" s="72" t="s">
        <v>146</v>
      </c>
      <c r="B6" s="72" t="s">
        <v>1</v>
      </c>
      <c r="C6" s="73" t="s">
        <v>52</v>
      </c>
      <c r="D6" s="73" t="s">
        <v>29</v>
      </c>
      <c r="E6" s="73" t="s">
        <v>145</v>
      </c>
      <c r="F6" s="72" t="s">
        <v>47</v>
      </c>
      <c r="O6" s="34"/>
      <c r="P6" s="34"/>
    </row>
    <row r="7" spans="1:16" ht="14.25">
      <c r="A7" s="7">
        <v>1305</v>
      </c>
      <c r="B7" s="7" t="s">
        <v>300</v>
      </c>
      <c r="C7" s="6">
        <f>+C21</f>
        <v>1168166089</v>
      </c>
      <c r="D7" s="6">
        <f>-T18</f>
        <v>-64575229.281193465</v>
      </c>
      <c r="E7" s="6">
        <f>+C7+D7</f>
        <v>1103590859.7188065</v>
      </c>
      <c r="F7" s="39">
        <f>+C7</f>
        <v>1168166089</v>
      </c>
      <c r="G7" s="32"/>
      <c r="O7" s="34"/>
      <c r="P7" s="34"/>
    </row>
    <row r="8" spans="1:19" ht="15">
      <c r="A8" s="7">
        <v>1330</v>
      </c>
      <c r="B8" s="7" t="s">
        <v>6</v>
      </c>
      <c r="C8" s="6">
        <f>+C91</f>
        <v>7250000</v>
      </c>
      <c r="D8" s="6">
        <f>-C90</f>
        <v>-698548</v>
      </c>
      <c r="E8" s="6">
        <f>+C8+D8</f>
        <v>6551452</v>
      </c>
      <c r="F8" s="39">
        <f>+E8</f>
        <v>6551452</v>
      </c>
      <c r="G8" s="32"/>
      <c r="O8" s="34"/>
      <c r="P8" s="128" t="s">
        <v>270</v>
      </c>
      <c r="R8" s="17">
        <v>600000000</v>
      </c>
      <c r="S8" s="16" t="s">
        <v>283</v>
      </c>
    </row>
    <row r="9" spans="1:15" ht="15">
      <c r="A9" s="7">
        <v>1355</v>
      </c>
      <c r="B9" s="7" t="s">
        <v>57</v>
      </c>
      <c r="C9" s="6">
        <f>+C96+C97</f>
        <v>195086000</v>
      </c>
      <c r="D9" s="6">
        <f>-C97</f>
        <v>-67560000</v>
      </c>
      <c r="E9" s="6">
        <f>+C9+D9</f>
        <v>127526000</v>
      </c>
      <c r="F9" s="39">
        <f>+E9</f>
        <v>127526000</v>
      </c>
      <c r="G9" s="32"/>
      <c r="H9" s="32"/>
      <c r="K9" s="25" t="s">
        <v>268</v>
      </c>
      <c r="O9" s="34"/>
    </row>
    <row r="10" spans="1:20" ht="15">
      <c r="A10" s="7">
        <v>1365</v>
      </c>
      <c r="B10" s="7" t="s">
        <v>127</v>
      </c>
      <c r="C10" s="6">
        <f>+C105</f>
        <v>37500000</v>
      </c>
      <c r="D10" s="6">
        <f>+D105</f>
        <v>-5390187.484782144</v>
      </c>
      <c r="E10" s="6">
        <f>+C10+D10</f>
        <v>32109812.515217856</v>
      </c>
      <c r="F10" s="39">
        <f>+E10</f>
        <v>32109812.515217856</v>
      </c>
      <c r="G10" s="32"/>
      <c r="J10" s="17"/>
      <c r="K10" s="25" t="s">
        <v>269</v>
      </c>
      <c r="L10" s="17">
        <v>390000000</v>
      </c>
      <c r="O10" s="34"/>
      <c r="P10" s="128" t="s">
        <v>198</v>
      </c>
      <c r="Q10" s="25" t="s">
        <v>241</v>
      </c>
      <c r="R10" s="25" t="s">
        <v>135</v>
      </c>
      <c r="S10" s="25" t="s">
        <v>68</v>
      </c>
      <c r="T10" s="25" t="s">
        <v>271</v>
      </c>
    </row>
    <row r="11" spans="1:20" ht="15">
      <c r="A11" s="7"/>
      <c r="B11" s="7" t="s">
        <v>222</v>
      </c>
      <c r="C11" s="6"/>
      <c r="D11" s="6"/>
      <c r="E11" s="6"/>
      <c r="F11" s="39"/>
      <c r="G11" s="32"/>
      <c r="J11" s="17"/>
      <c r="K11" s="46" t="s">
        <v>198</v>
      </c>
      <c r="L11" s="25" t="s">
        <v>241</v>
      </c>
      <c r="M11" s="25" t="s">
        <v>68</v>
      </c>
      <c r="N11" s="17"/>
      <c r="O11" s="34"/>
      <c r="P11" s="34"/>
      <c r="Q11" s="34" t="s">
        <v>401</v>
      </c>
      <c r="S11" s="34"/>
      <c r="T11" s="34"/>
    </row>
    <row r="12" spans="1:20" ht="15">
      <c r="A12" s="7"/>
      <c r="B12" s="7" t="s">
        <v>16</v>
      </c>
      <c r="C12" s="6"/>
      <c r="D12" s="6">
        <f>+'Otros activos'!C9</f>
        <v>217500000</v>
      </c>
      <c r="E12" s="6">
        <f>+C12+D12</f>
        <v>217500000</v>
      </c>
      <c r="F12" s="39">
        <f>+E12</f>
        <v>217500000</v>
      </c>
      <c r="G12" s="32"/>
      <c r="J12" s="17"/>
      <c r="K12" s="17"/>
      <c r="L12" s="128">
        <f>-M12</f>
        <v>-390000000</v>
      </c>
      <c r="M12" s="128">
        <f>+L10</f>
        <v>390000000</v>
      </c>
      <c r="N12" s="17"/>
      <c r="O12" s="34"/>
      <c r="P12" s="34"/>
      <c r="Q12" s="128">
        <v>-300000000</v>
      </c>
      <c r="R12" s="25"/>
      <c r="S12" s="128">
        <f>-Q12</f>
        <v>300000000</v>
      </c>
      <c r="T12" s="34"/>
    </row>
    <row r="13" spans="1:20" ht="14.25">
      <c r="A13" s="7">
        <v>1399</v>
      </c>
      <c r="B13" s="7" t="s">
        <v>137</v>
      </c>
      <c r="C13" s="6">
        <f>-C69</f>
        <v>-279827048</v>
      </c>
      <c r="D13" s="6">
        <f>+E13-C13</f>
        <v>34508631.12271273</v>
      </c>
      <c r="E13" s="6">
        <f>-C74</f>
        <v>-245318416.87728727</v>
      </c>
      <c r="F13" s="39">
        <f>+C13</f>
        <v>-279827048</v>
      </c>
      <c r="G13" s="32"/>
      <c r="J13" s="125"/>
      <c r="K13" s="180">
        <v>41821</v>
      </c>
      <c r="L13" s="17">
        <f>+L10/36</f>
        <v>10833333.333333334</v>
      </c>
      <c r="M13" s="34">
        <f aca="true" t="shared" si="0" ref="M13:M37">+M12-L13</f>
        <v>379166666.6666667</v>
      </c>
      <c r="N13" s="17"/>
      <c r="O13" s="34"/>
      <c r="P13" s="180">
        <f>+K13</f>
        <v>41821</v>
      </c>
      <c r="Q13" s="17">
        <f>+L13</f>
        <v>10833333.333333334</v>
      </c>
      <c r="R13" s="17">
        <f aca="true" t="shared" si="1" ref="R13:R48">+S12*$Q$49</f>
        <v>4479418.965116099</v>
      </c>
      <c r="S13" s="34">
        <f>+S12+R13-Q13</f>
        <v>293646085.63178277</v>
      </c>
      <c r="T13" s="34"/>
    </row>
    <row r="14" spans="1:20" ht="15">
      <c r="A14" s="7"/>
      <c r="B14" s="72" t="s">
        <v>58</v>
      </c>
      <c r="C14" s="79">
        <f>SUM(C7:C13)</f>
        <v>1128175041</v>
      </c>
      <c r="D14" s="79">
        <f>SUM(D7:D13)</f>
        <v>113784666.35673714</v>
      </c>
      <c r="E14" s="79">
        <f>SUM(E7:E13)</f>
        <v>1241959707.3567371</v>
      </c>
      <c r="F14" s="79">
        <f>SUM(F7:F13)</f>
        <v>1272026305.5152178</v>
      </c>
      <c r="J14" s="17"/>
      <c r="K14" s="180">
        <v>41852</v>
      </c>
      <c r="L14" s="17">
        <f aca="true" t="shared" si="2" ref="L14:L19">+L13</f>
        <v>10833333.333333334</v>
      </c>
      <c r="M14" s="34">
        <f t="shared" si="0"/>
        <v>368333333.3333334</v>
      </c>
      <c r="N14" s="17"/>
      <c r="O14" s="34"/>
      <c r="P14" s="180">
        <f aca="true" t="shared" si="3" ref="P14:P26">+K14</f>
        <v>41852</v>
      </c>
      <c r="Q14" s="17">
        <f aca="true" t="shared" si="4" ref="Q14:Q26">+L14</f>
        <v>10833333.333333334</v>
      </c>
      <c r="R14" s="17">
        <f t="shared" si="1"/>
        <v>4384546.1500370465</v>
      </c>
      <c r="S14" s="34">
        <f aca="true" t="shared" si="5" ref="S14:S26">+S13+R14-Q14</f>
        <v>287197298.4484865</v>
      </c>
      <c r="T14" s="34"/>
    </row>
    <row r="15" spans="3:20" ht="14.25">
      <c r="C15" s="32"/>
      <c r="D15" s="32"/>
      <c r="E15" s="32"/>
      <c r="H15" s="32"/>
      <c r="J15" s="17"/>
      <c r="K15" s="180">
        <v>41883</v>
      </c>
      <c r="L15" s="17">
        <f t="shared" si="2"/>
        <v>10833333.333333334</v>
      </c>
      <c r="M15" s="34">
        <f t="shared" si="0"/>
        <v>357500000.00000006</v>
      </c>
      <c r="N15" s="17"/>
      <c r="O15" s="34"/>
      <c r="P15" s="180">
        <f t="shared" si="3"/>
        <v>41883</v>
      </c>
      <c r="Q15" s="17">
        <f t="shared" si="4"/>
        <v>10833333.333333334</v>
      </c>
      <c r="R15" s="17">
        <f t="shared" si="1"/>
        <v>4288256.751334197</v>
      </c>
      <c r="S15" s="34">
        <f t="shared" si="5"/>
        <v>280652221.8664874</v>
      </c>
      <c r="T15" s="34"/>
    </row>
    <row r="16" spans="3:20" ht="15">
      <c r="C16" s="32"/>
      <c r="D16" s="32"/>
      <c r="E16" s="160" t="s">
        <v>0</v>
      </c>
      <c r="F16" s="16" t="s">
        <v>237</v>
      </c>
      <c r="J16" s="17"/>
      <c r="K16" s="180">
        <v>41913</v>
      </c>
      <c r="L16" s="17">
        <f t="shared" si="2"/>
        <v>10833333.333333334</v>
      </c>
      <c r="M16" s="34">
        <f t="shared" si="0"/>
        <v>346666666.66666675</v>
      </c>
      <c r="N16" s="17"/>
      <c r="O16" s="34"/>
      <c r="P16" s="180">
        <f t="shared" si="3"/>
        <v>41913</v>
      </c>
      <c r="Q16" s="17">
        <f t="shared" si="4"/>
        <v>10833333.333333334</v>
      </c>
      <c r="R16" s="17">
        <f t="shared" si="1"/>
        <v>4190529.6174357166</v>
      </c>
      <c r="S16" s="34">
        <f t="shared" si="5"/>
        <v>274009418.15058976</v>
      </c>
      <c r="T16" s="34"/>
    </row>
    <row r="17" spans="3:20" ht="14.25">
      <c r="C17" s="32"/>
      <c r="D17" s="32"/>
      <c r="E17" s="32"/>
      <c r="J17" s="17"/>
      <c r="K17" s="180">
        <v>41944</v>
      </c>
      <c r="L17" s="17">
        <f t="shared" si="2"/>
        <v>10833333.333333334</v>
      </c>
      <c r="M17" s="34">
        <f t="shared" si="0"/>
        <v>335833333.33333343</v>
      </c>
      <c r="N17" s="17"/>
      <c r="O17" s="34"/>
      <c r="P17" s="180">
        <f t="shared" si="3"/>
        <v>41944</v>
      </c>
      <c r="Q17" s="17">
        <f t="shared" si="4"/>
        <v>10833333.333333334</v>
      </c>
      <c r="R17" s="17">
        <f t="shared" si="1"/>
        <v>4091343.2809472647</v>
      </c>
      <c r="S17" s="34">
        <f t="shared" si="5"/>
        <v>267267428.0982037</v>
      </c>
      <c r="T17" s="34" t="s">
        <v>271</v>
      </c>
    </row>
    <row r="18" spans="2:20" ht="15">
      <c r="B18" s="25" t="s">
        <v>533</v>
      </c>
      <c r="C18" s="32"/>
      <c r="D18" s="32"/>
      <c r="E18" s="32"/>
      <c r="J18" s="17"/>
      <c r="K18" s="181">
        <v>41974</v>
      </c>
      <c r="L18" s="118">
        <f t="shared" si="2"/>
        <v>10833333.333333334</v>
      </c>
      <c r="M18" s="119">
        <f t="shared" si="0"/>
        <v>325000000.0000001</v>
      </c>
      <c r="N18" s="17">
        <v>325000000</v>
      </c>
      <c r="O18" s="34"/>
      <c r="P18" s="180">
        <f t="shared" si="3"/>
        <v>41974</v>
      </c>
      <c r="Q18" s="118">
        <f t="shared" si="4"/>
        <v>10833333.333333334</v>
      </c>
      <c r="R18" s="118">
        <f t="shared" si="1"/>
        <v>3990675.953936324</v>
      </c>
      <c r="S18" s="119">
        <f t="shared" si="5"/>
        <v>260424770.71880665</v>
      </c>
      <c r="T18" s="119">
        <f>+M18-S18</f>
        <v>64575229.281193465</v>
      </c>
    </row>
    <row r="19" spans="3:20" ht="14.25">
      <c r="C19" s="32"/>
      <c r="D19" s="32"/>
      <c r="E19" s="32"/>
      <c r="J19" s="17"/>
      <c r="K19" s="180">
        <v>42005</v>
      </c>
      <c r="L19" s="17">
        <f t="shared" si="2"/>
        <v>10833333.333333334</v>
      </c>
      <c r="M19" s="34">
        <f t="shared" si="0"/>
        <v>314166666.6666668</v>
      </c>
      <c r="N19" s="17"/>
      <c r="O19" s="34"/>
      <c r="P19" s="180">
        <f t="shared" si="3"/>
        <v>42005</v>
      </c>
      <c r="Q19" s="17">
        <f t="shared" si="4"/>
        <v>10833333.333333334</v>
      </c>
      <c r="R19" s="17">
        <f t="shared" si="1"/>
        <v>3888505.523146115</v>
      </c>
      <c r="S19" s="34">
        <f t="shared" si="5"/>
        <v>253479942.90861943</v>
      </c>
      <c r="T19" s="34"/>
    </row>
    <row r="20" spans="4:20" ht="30">
      <c r="D20" s="86" t="s">
        <v>518</v>
      </c>
      <c r="E20" s="86" t="s">
        <v>521</v>
      </c>
      <c r="F20" s="86" t="s">
        <v>522</v>
      </c>
      <c r="J20" s="17"/>
      <c r="K20" s="180">
        <v>42036</v>
      </c>
      <c r="L20" s="17">
        <f aca="true" t="shared" si="6" ref="L20:L26">+L19</f>
        <v>10833333.333333334</v>
      </c>
      <c r="M20" s="34">
        <f t="shared" si="0"/>
        <v>303333333.3333335</v>
      </c>
      <c r="N20" s="17"/>
      <c r="O20" s="34"/>
      <c r="P20" s="180">
        <f t="shared" si="3"/>
        <v>42036</v>
      </c>
      <c r="Q20" s="17">
        <f t="shared" si="4"/>
        <v>10833333.333333334</v>
      </c>
      <c r="R20" s="17">
        <f t="shared" si="1"/>
        <v>3784809.5451380536</v>
      </c>
      <c r="S20" s="34">
        <f t="shared" si="5"/>
        <v>246431419.12042415</v>
      </c>
      <c r="T20" s="34"/>
    </row>
    <row r="21" spans="2:20" ht="15">
      <c r="B21" s="72" t="s">
        <v>534</v>
      </c>
      <c r="C21" s="79">
        <f>SUM(C22:C25)</f>
        <v>1168166089</v>
      </c>
      <c r="D21" s="79">
        <f>SUM(D22:D25)</f>
        <v>1103590859.7188067</v>
      </c>
      <c r="E21" s="79">
        <f>SUM(E22:E25)</f>
        <v>645235214.0878652</v>
      </c>
      <c r="F21" s="79">
        <f>SUM(F22:F25)</f>
        <v>615161981.1897613</v>
      </c>
      <c r="J21" s="17"/>
      <c r="K21" s="180">
        <v>42064</v>
      </c>
      <c r="L21" s="17">
        <f t="shared" si="6"/>
        <v>10833333.333333334</v>
      </c>
      <c r="M21" s="34">
        <f t="shared" si="0"/>
        <v>292500000.0000002</v>
      </c>
      <c r="N21" s="17"/>
      <c r="O21" s="34"/>
      <c r="P21" s="180">
        <f t="shared" si="3"/>
        <v>42064</v>
      </c>
      <c r="Q21" s="17">
        <f t="shared" si="4"/>
        <v>10833333.333333334</v>
      </c>
      <c r="R21" s="17">
        <f t="shared" si="1"/>
        <v>3679565.241361674</v>
      </c>
      <c r="S21" s="34">
        <f t="shared" si="5"/>
        <v>239277651.0284525</v>
      </c>
      <c r="T21" s="34"/>
    </row>
    <row r="22" spans="2:20" ht="14.25">
      <c r="B22" s="7" t="s">
        <v>541</v>
      </c>
      <c r="C22" s="6">
        <v>325000000</v>
      </c>
      <c r="D22" s="6">
        <f>+S18</f>
        <v>260424770.71880665</v>
      </c>
      <c r="E22" s="6">
        <f>+S30</f>
        <v>169890548.82165405</v>
      </c>
      <c r="F22" s="6">
        <f>+S41</f>
        <v>71499692.74426687</v>
      </c>
      <c r="J22" s="17"/>
      <c r="K22" s="180">
        <v>42095</v>
      </c>
      <c r="L22" s="17">
        <f t="shared" si="6"/>
        <v>10833333.333333334</v>
      </c>
      <c r="M22" s="34">
        <f t="shared" si="0"/>
        <v>281666666.66666687</v>
      </c>
      <c r="N22" s="17"/>
      <c r="O22" s="34"/>
      <c r="P22" s="180">
        <f t="shared" si="3"/>
        <v>42095</v>
      </c>
      <c r="Q22" s="17">
        <f t="shared" si="4"/>
        <v>10833333.333333334</v>
      </c>
      <c r="R22" s="17">
        <f t="shared" si="1"/>
        <v>3572749.4931509397</v>
      </c>
      <c r="S22" s="34">
        <f t="shared" si="5"/>
        <v>232017067.1882701</v>
      </c>
      <c r="T22" s="34"/>
    </row>
    <row r="23" spans="2:20" ht="14.25">
      <c r="B23" s="7" t="s">
        <v>92</v>
      </c>
      <c r="C23" s="6">
        <v>258456789</v>
      </c>
      <c r="D23" s="6">
        <f>+C23</f>
        <v>258456789</v>
      </c>
      <c r="E23" s="6">
        <v>312000000</v>
      </c>
      <c r="F23" s="6">
        <v>415000000</v>
      </c>
      <c r="J23" s="17"/>
      <c r="K23" s="180">
        <v>42125</v>
      </c>
      <c r="L23" s="17">
        <f t="shared" si="6"/>
        <v>10833333.333333334</v>
      </c>
      <c r="M23" s="34">
        <f t="shared" si="0"/>
        <v>270833333.33333355</v>
      </c>
      <c r="N23" s="17"/>
      <c r="O23" s="34"/>
      <c r="P23" s="180">
        <f t="shared" si="3"/>
        <v>42125</v>
      </c>
      <c r="Q23" s="17">
        <f t="shared" si="4"/>
        <v>10833333.333333334</v>
      </c>
      <c r="R23" s="17">
        <f t="shared" si="1"/>
        <v>3464338.836645845</v>
      </c>
      <c r="S23" s="34">
        <f t="shared" si="5"/>
        <v>224648072.6915826</v>
      </c>
      <c r="T23" s="34"/>
    </row>
    <row r="24" spans="2:20" ht="15">
      <c r="B24" s="7" t="s">
        <v>93</v>
      </c>
      <c r="C24" s="6">
        <v>321457850</v>
      </c>
      <c r="D24" s="6">
        <f>+C24</f>
        <v>321457850</v>
      </c>
      <c r="E24" s="6">
        <v>0</v>
      </c>
      <c r="F24" s="6">
        <v>0</v>
      </c>
      <c r="J24" s="17"/>
      <c r="K24" s="180">
        <v>42156</v>
      </c>
      <c r="L24" s="17">
        <f t="shared" si="6"/>
        <v>10833333.333333334</v>
      </c>
      <c r="M24" s="34">
        <f t="shared" si="0"/>
        <v>260000000.0000002</v>
      </c>
      <c r="N24" s="63"/>
      <c r="O24" s="34"/>
      <c r="P24" s="180">
        <f t="shared" si="3"/>
        <v>42156</v>
      </c>
      <c r="Q24" s="17">
        <f t="shared" si="4"/>
        <v>10833333.333333334</v>
      </c>
      <c r="R24" s="17">
        <f t="shared" si="1"/>
        <v>3354309.457638184</v>
      </c>
      <c r="S24" s="34">
        <f t="shared" si="5"/>
        <v>217169048.81588742</v>
      </c>
      <c r="T24" s="34"/>
    </row>
    <row r="25" spans="2:19" ht="14.25">
      <c r="B25" s="7" t="s">
        <v>94</v>
      </c>
      <c r="C25" s="6">
        <v>263251450</v>
      </c>
      <c r="D25" s="6">
        <f>+C25</f>
        <v>263251450</v>
      </c>
      <c r="E25" s="6">
        <f>+N72</f>
        <v>163344665.26621115</v>
      </c>
      <c r="F25" s="6">
        <f>+N73</f>
        <v>128662288.44549438</v>
      </c>
      <c r="G25" s="16" t="s">
        <v>542</v>
      </c>
      <c r="J25" s="17"/>
      <c r="K25" s="180">
        <v>42186</v>
      </c>
      <c r="L25" s="17">
        <f t="shared" si="6"/>
        <v>10833333.333333334</v>
      </c>
      <c r="M25" s="34">
        <f t="shared" si="0"/>
        <v>249166666.66666687</v>
      </c>
      <c r="P25" s="180">
        <f t="shared" si="3"/>
        <v>42186</v>
      </c>
      <c r="Q25" s="17">
        <f t="shared" si="4"/>
        <v>10833333.333333334</v>
      </c>
      <c r="R25" s="17">
        <f t="shared" si="1"/>
        <v>3242637.1863403674</v>
      </c>
      <c r="S25" s="34">
        <f t="shared" si="5"/>
        <v>209578352.66889444</v>
      </c>
    </row>
    <row r="26" spans="3:20" ht="14.25">
      <c r="C26" s="32"/>
      <c r="D26" s="32"/>
      <c r="E26" s="32"/>
      <c r="J26" s="17"/>
      <c r="K26" s="180">
        <v>42217</v>
      </c>
      <c r="L26" s="17">
        <f t="shared" si="6"/>
        <v>10833333.333333334</v>
      </c>
      <c r="M26" s="34">
        <f t="shared" si="0"/>
        <v>238333333.33333352</v>
      </c>
      <c r="N26" s="17"/>
      <c r="O26" s="34"/>
      <c r="P26" s="180">
        <f t="shared" si="3"/>
        <v>42217</v>
      </c>
      <c r="Q26" s="17">
        <f t="shared" si="4"/>
        <v>10833333.333333334</v>
      </c>
      <c r="R26" s="17">
        <f t="shared" si="1"/>
        <v>3129297.4920761203</v>
      </c>
      <c r="S26" s="34">
        <f t="shared" si="5"/>
        <v>201874316.82763723</v>
      </c>
      <c r="T26" s="34"/>
    </row>
    <row r="27" spans="3:20" ht="14.25">
      <c r="C27" s="32"/>
      <c r="D27" s="32"/>
      <c r="E27" s="32"/>
      <c r="J27" s="17"/>
      <c r="K27" s="180">
        <v>42248</v>
      </c>
      <c r="L27" s="17">
        <f aca="true" t="shared" si="7" ref="L27:L37">+L26</f>
        <v>10833333.333333334</v>
      </c>
      <c r="M27" s="34">
        <f t="shared" si="0"/>
        <v>227500000.00000018</v>
      </c>
      <c r="N27" s="17"/>
      <c r="O27" s="34"/>
      <c r="P27" s="180">
        <f aca="true" t="shared" si="8" ref="P27:P48">+K27</f>
        <v>42248</v>
      </c>
      <c r="Q27" s="17">
        <f aca="true" t="shared" si="9" ref="Q27:Q48">+L27</f>
        <v>10833333.333333334</v>
      </c>
      <c r="R27" s="17">
        <f t="shared" si="1"/>
        <v>3014265.4778919145</v>
      </c>
      <c r="S27" s="34">
        <f aca="true" t="shared" si="10" ref="S27:S48">+S26+R27-Q27</f>
        <v>194055248.9721958</v>
      </c>
      <c r="T27" s="34"/>
    </row>
    <row r="28" spans="3:20" ht="30">
      <c r="C28" s="32"/>
      <c r="D28" s="86" t="s">
        <v>518</v>
      </c>
      <c r="E28" s="86" t="s">
        <v>521</v>
      </c>
      <c r="F28" s="86" t="s">
        <v>522</v>
      </c>
      <c r="J28" s="17"/>
      <c r="K28" s="180">
        <v>42278</v>
      </c>
      <c r="L28" s="17">
        <f t="shared" si="7"/>
        <v>10833333.333333334</v>
      </c>
      <c r="M28" s="34">
        <f t="shared" si="0"/>
        <v>216666666.66666684</v>
      </c>
      <c r="N28" s="17"/>
      <c r="O28" s="34"/>
      <c r="P28" s="180">
        <f t="shared" si="8"/>
        <v>42278</v>
      </c>
      <c r="Q28" s="17">
        <f t="shared" si="9"/>
        <v>10833333.333333334</v>
      </c>
      <c r="R28" s="17">
        <f t="shared" si="1"/>
        <v>2897515.8750879345</v>
      </c>
      <c r="S28" s="34">
        <f t="shared" si="10"/>
        <v>186119431.5139504</v>
      </c>
      <c r="T28" s="34"/>
    </row>
    <row r="29" spans="2:20" ht="15">
      <c r="B29" s="72" t="s">
        <v>47</v>
      </c>
      <c r="C29" s="79">
        <f>SUM(C30:C33)</f>
        <v>0</v>
      </c>
      <c r="D29" s="79">
        <f>SUM(D30:D33)</f>
        <v>1168166089</v>
      </c>
      <c r="E29" s="79">
        <f>SUM(E30:E33)</f>
        <v>670344665.2662113</v>
      </c>
      <c r="F29" s="79">
        <f>SUM(F30:F33)</f>
        <v>619495621.7788279</v>
      </c>
      <c r="G29" s="32" t="s">
        <v>0</v>
      </c>
      <c r="J29" s="17"/>
      <c r="K29" s="180">
        <v>42309</v>
      </c>
      <c r="L29" s="17">
        <f t="shared" si="7"/>
        <v>10833333.333333334</v>
      </c>
      <c r="M29" s="34">
        <f t="shared" si="0"/>
        <v>205833333.3333335</v>
      </c>
      <c r="N29" s="17"/>
      <c r="O29" s="34"/>
      <c r="P29" s="180">
        <f t="shared" si="8"/>
        <v>42309</v>
      </c>
      <c r="Q29" s="17">
        <f t="shared" si="9"/>
        <v>10833333.333333334</v>
      </c>
      <c r="R29" s="17">
        <f t="shared" si="1"/>
        <v>2779023.0376673886</v>
      </c>
      <c r="S29" s="34">
        <f t="shared" si="10"/>
        <v>178065121.21828446</v>
      </c>
      <c r="T29" s="34"/>
    </row>
    <row r="30" spans="2:20" ht="14.25">
      <c r="B30" s="7" t="s">
        <v>541</v>
      </c>
      <c r="C30" s="6"/>
      <c r="D30" s="6">
        <f>+C22</f>
        <v>325000000</v>
      </c>
      <c r="E30" s="6">
        <f>+M30</f>
        <v>195000000.00000015</v>
      </c>
      <c r="F30" s="6">
        <f>+M41</f>
        <v>75833333.33333346</v>
      </c>
      <c r="J30" s="17"/>
      <c r="K30" s="181">
        <v>42339</v>
      </c>
      <c r="L30" s="118">
        <f t="shared" si="7"/>
        <v>10833333.333333334</v>
      </c>
      <c r="M30" s="119">
        <f t="shared" si="0"/>
        <v>195000000.00000015</v>
      </c>
      <c r="N30" s="17"/>
      <c r="O30" s="34"/>
      <c r="P30" s="181">
        <f t="shared" si="8"/>
        <v>42339</v>
      </c>
      <c r="Q30" s="118">
        <f t="shared" si="9"/>
        <v>10833333.333333334</v>
      </c>
      <c r="R30" s="118">
        <f t="shared" si="1"/>
        <v>2658760.9367029355</v>
      </c>
      <c r="S30" s="119">
        <f t="shared" si="10"/>
        <v>169890548.82165405</v>
      </c>
      <c r="T30" s="119">
        <f>+M30-S30</f>
        <v>25109451.178346097</v>
      </c>
    </row>
    <row r="31" spans="2:20" ht="14.25">
      <c r="B31" s="7" t="s">
        <v>92</v>
      </c>
      <c r="C31" s="6"/>
      <c r="D31" s="6">
        <f>+C23</f>
        <v>258456789</v>
      </c>
      <c r="E31" s="6">
        <f aca="true" t="shared" si="11" ref="E31:F33">+E23</f>
        <v>312000000</v>
      </c>
      <c r="F31" s="6">
        <f t="shared" si="11"/>
        <v>415000000</v>
      </c>
      <c r="J31" s="17"/>
      <c r="K31" s="180">
        <v>42370</v>
      </c>
      <c r="L31" s="17">
        <f t="shared" si="7"/>
        <v>10833333.333333334</v>
      </c>
      <c r="M31" s="34">
        <f t="shared" si="0"/>
        <v>184166666.6666668</v>
      </c>
      <c r="N31" s="17"/>
      <c r="O31" s="34"/>
      <c r="P31" s="180">
        <f t="shared" si="8"/>
        <v>42370</v>
      </c>
      <c r="Q31" s="17">
        <f t="shared" si="9"/>
        <v>10833333.333333334</v>
      </c>
      <c r="R31" s="17">
        <f t="shared" si="1"/>
        <v>2536703.1546189995</v>
      </c>
      <c r="S31" s="34">
        <f t="shared" si="10"/>
        <v>161593918.64293972</v>
      </c>
      <c r="T31" s="34"/>
    </row>
    <row r="32" spans="2:20" ht="14.25">
      <c r="B32" s="7" t="s">
        <v>93</v>
      </c>
      <c r="C32" s="6"/>
      <c r="D32" s="6">
        <f>+C24</f>
        <v>321457850</v>
      </c>
      <c r="E32" s="6">
        <f t="shared" si="11"/>
        <v>0</v>
      </c>
      <c r="F32" s="6">
        <f t="shared" si="11"/>
        <v>0</v>
      </c>
      <c r="J32" s="17"/>
      <c r="K32" s="180">
        <v>42401</v>
      </c>
      <c r="L32" s="17">
        <f t="shared" si="7"/>
        <v>10833333.333333334</v>
      </c>
      <c r="M32" s="34">
        <f t="shared" si="0"/>
        <v>173333333.33333346</v>
      </c>
      <c r="N32" s="17"/>
      <c r="O32" s="34"/>
      <c r="P32" s="180">
        <f t="shared" si="8"/>
        <v>42401</v>
      </c>
      <c r="Q32" s="17">
        <f t="shared" si="9"/>
        <v>10833333.333333334</v>
      </c>
      <c r="R32" s="17">
        <f t="shared" si="1"/>
        <v>2412822.8793887077</v>
      </c>
      <c r="S32" s="34">
        <f t="shared" si="10"/>
        <v>153173408.1889951</v>
      </c>
      <c r="T32" s="34"/>
    </row>
    <row r="33" spans="2:20" ht="14.25">
      <c r="B33" s="7" t="s">
        <v>94</v>
      </c>
      <c r="C33" s="6"/>
      <c r="D33" s="6">
        <f>+C25</f>
        <v>263251450</v>
      </c>
      <c r="E33" s="6">
        <f t="shared" si="11"/>
        <v>163344665.26621115</v>
      </c>
      <c r="F33" s="6">
        <f t="shared" si="11"/>
        <v>128662288.44549438</v>
      </c>
      <c r="J33" s="17"/>
      <c r="K33" s="180">
        <v>42430</v>
      </c>
      <c r="L33" s="17">
        <f t="shared" si="7"/>
        <v>10833333.333333334</v>
      </c>
      <c r="M33" s="34">
        <f t="shared" si="0"/>
        <v>162500000.00000012</v>
      </c>
      <c r="N33" s="17"/>
      <c r="O33" s="34"/>
      <c r="P33" s="180">
        <f t="shared" si="8"/>
        <v>42430</v>
      </c>
      <c r="Q33" s="17">
        <f t="shared" si="9"/>
        <v>10833333.333333334</v>
      </c>
      <c r="R33" s="17">
        <f t="shared" si="1"/>
        <v>2287092.898644181</v>
      </c>
      <c r="S33" s="34">
        <f t="shared" si="10"/>
        <v>144627167.75430593</v>
      </c>
      <c r="T33" s="34"/>
    </row>
    <row r="34" spans="3:20" ht="14.25">
      <c r="C34" s="32"/>
      <c r="D34" s="32"/>
      <c r="E34" s="32"/>
      <c r="J34" s="17"/>
      <c r="K34" s="180">
        <v>42461</v>
      </c>
      <c r="L34" s="17">
        <f t="shared" si="7"/>
        <v>10833333.333333334</v>
      </c>
      <c r="M34" s="34">
        <f t="shared" si="0"/>
        <v>151666666.66666678</v>
      </c>
      <c r="N34" s="17"/>
      <c r="O34" s="34"/>
      <c r="P34" s="180">
        <f t="shared" si="8"/>
        <v>42461</v>
      </c>
      <c r="Q34" s="17">
        <f t="shared" si="9"/>
        <v>10833333.333333334</v>
      </c>
      <c r="R34" s="17">
        <f t="shared" si="1"/>
        <v>2159485.5936988853</v>
      </c>
      <c r="S34" s="34">
        <f t="shared" si="10"/>
        <v>135953320.01467147</v>
      </c>
      <c r="T34" s="34"/>
    </row>
    <row r="35" spans="3:20" ht="14.25">
      <c r="C35" s="32"/>
      <c r="D35" s="32"/>
      <c r="E35" s="32"/>
      <c r="J35" s="17"/>
      <c r="K35" s="180">
        <v>42491</v>
      </c>
      <c r="L35" s="17">
        <f t="shared" si="7"/>
        <v>10833333.333333334</v>
      </c>
      <c r="M35" s="34">
        <f t="shared" si="0"/>
        <v>140833333.33333343</v>
      </c>
      <c r="N35" s="17"/>
      <c r="O35" s="34"/>
      <c r="P35" s="180">
        <f t="shared" si="8"/>
        <v>42491</v>
      </c>
      <c r="Q35" s="17">
        <f t="shared" si="9"/>
        <v>10833333.333333334</v>
      </c>
      <c r="R35" s="17">
        <f t="shared" si="1"/>
        <v>2029972.9334807254</v>
      </c>
      <c r="S35" s="34">
        <f t="shared" si="10"/>
        <v>127149959.61481889</v>
      </c>
      <c r="T35" s="34"/>
    </row>
    <row r="36" spans="3:20" ht="30">
      <c r="C36" s="32"/>
      <c r="D36" s="86" t="s">
        <v>518</v>
      </c>
      <c r="E36" s="86" t="s">
        <v>521</v>
      </c>
      <c r="F36" s="86" t="s">
        <v>522</v>
      </c>
      <c r="J36" s="17"/>
      <c r="K36" s="180">
        <v>42522</v>
      </c>
      <c r="L36" s="17">
        <f t="shared" si="7"/>
        <v>10833333.333333334</v>
      </c>
      <c r="M36" s="34">
        <f t="shared" si="0"/>
        <v>130000000.0000001</v>
      </c>
      <c r="N36" s="17"/>
      <c r="O36" s="34"/>
      <c r="P36" s="180">
        <f t="shared" si="8"/>
        <v>42522</v>
      </c>
      <c r="Q36" s="17">
        <f t="shared" si="9"/>
        <v>10833333.333333334</v>
      </c>
      <c r="R36" s="17">
        <f t="shared" si="1"/>
        <v>1898526.468374553</v>
      </c>
      <c r="S36" s="34">
        <f t="shared" si="10"/>
        <v>118215152.74986011</v>
      </c>
      <c r="T36" s="34"/>
    </row>
    <row r="37" spans="2:20" ht="15">
      <c r="B37" s="72" t="s">
        <v>535</v>
      </c>
      <c r="C37" s="79">
        <f>SUM(C38:C40)</f>
        <v>0</v>
      </c>
      <c r="D37" s="79">
        <f>SUM(D38:D41)</f>
        <v>0</v>
      </c>
      <c r="E37" s="79">
        <f>SUM(E38:E41)</f>
        <v>19174000000</v>
      </c>
      <c r="F37" s="79">
        <f>SUM(F38:F41)</f>
        <v>17236000000</v>
      </c>
      <c r="J37" s="17"/>
      <c r="K37" s="180">
        <v>42552</v>
      </c>
      <c r="L37" s="17">
        <f t="shared" si="7"/>
        <v>10833333.333333334</v>
      </c>
      <c r="M37" s="34">
        <f t="shared" si="0"/>
        <v>119166666.66666678</v>
      </c>
      <c r="N37" s="17"/>
      <c r="O37" s="34"/>
      <c r="P37" s="180">
        <f t="shared" si="8"/>
        <v>42552</v>
      </c>
      <c r="Q37" s="17">
        <f t="shared" si="9"/>
        <v>10833333.333333334</v>
      </c>
      <c r="R37" s="17">
        <f t="shared" si="1"/>
        <v>1765117.3239727335</v>
      </c>
      <c r="S37" s="34">
        <f t="shared" si="10"/>
        <v>109146936.74049951</v>
      </c>
      <c r="T37" s="34"/>
    </row>
    <row r="38" spans="2:20" ht="14.25">
      <c r="B38" s="7" t="s">
        <v>541</v>
      </c>
      <c r="C38" s="183"/>
      <c r="D38" s="183"/>
      <c r="E38" s="6">
        <v>0</v>
      </c>
      <c r="F38" s="6">
        <v>0</v>
      </c>
      <c r="J38" s="17"/>
      <c r="K38" s="180">
        <v>42614</v>
      </c>
      <c r="L38" s="17">
        <f aca="true" t="shared" si="12" ref="L38:L47">+L37</f>
        <v>10833333.333333334</v>
      </c>
      <c r="M38" s="34">
        <f aca="true" t="shared" si="13" ref="M38:M47">+M37-L38</f>
        <v>108333333.33333345</v>
      </c>
      <c r="N38" s="17"/>
      <c r="O38" s="34"/>
      <c r="P38" s="180">
        <f t="shared" si="8"/>
        <v>42614</v>
      </c>
      <c r="Q38" s="17">
        <f t="shared" si="9"/>
        <v>10833333.333333334</v>
      </c>
      <c r="R38" s="17">
        <f t="shared" si="1"/>
        <v>1629716.1947324025</v>
      </c>
      <c r="S38" s="34">
        <f t="shared" si="10"/>
        <v>99943319.60189858</v>
      </c>
      <c r="T38" s="34"/>
    </row>
    <row r="39" spans="2:20" ht="14.25">
      <c r="B39" s="7" t="s">
        <v>539</v>
      </c>
      <c r="C39" s="183"/>
      <c r="D39" s="183"/>
      <c r="E39" s="6">
        <v>6523000000</v>
      </c>
      <c r="F39" s="6">
        <v>4562000000</v>
      </c>
      <c r="J39" s="17"/>
      <c r="K39" s="180">
        <v>42644</v>
      </c>
      <c r="L39" s="17">
        <f t="shared" si="12"/>
        <v>10833333.333333334</v>
      </c>
      <c r="M39" s="34">
        <f t="shared" si="13"/>
        <v>97500000.00000012</v>
      </c>
      <c r="N39" s="17"/>
      <c r="O39" s="34"/>
      <c r="P39" s="180">
        <f t="shared" si="8"/>
        <v>42644</v>
      </c>
      <c r="Q39" s="17">
        <f t="shared" si="9"/>
        <v>10833333.333333334</v>
      </c>
      <c r="R39" s="17">
        <f t="shared" si="1"/>
        <v>1492293.337538014</v>
      </c>
      <c r="S39" s="34">
        <f t="shared" si="10"/>
        <v>90602279.60610327</v>
      </c>
      <c r="T39" s="34"/>
    </row>
    <row r="40" spans="2:20" ht="14.25">
      <c r="B40" s="7" t="s">
        <v>536</v>
      </c>
      <c r="C40" s="183"/>
      <c r="D40" s="183"/>
      <c r="E40" s="6">
        <v>9526000000</v>
      </c>
      <c r="F40" s="6">
        <v>11524000000</v>
      </c>
      <c r="J40" s="17"/>
      <c r="K40" s="180">
        <v>42675</v>
      </c>
      <c r="L40" s="17">
        <f t="shared" si="12"/>
        <v>10833333.333333334</v>
      </c>
      <c r="M40" s="34">
        <f t="shared" si="13"/>
        <v>86666666.66666679</v>
      </c>
      <c r="N40" s="17"/>
      <c r="O40" s="34"/>
      <c r="P40" s="180">
        <f t="shared" si="8"/>
        <v>42675</v>
      </c>
      <c r="Q40" s="17">
        <f t="shared" si="9"/>
        <v>10833333.333333334</v>
      </c>
      <c r="R40" s="17">
        <f t="shared" si="1"/>
        <v>1352818.5651677689</v>
      </c>
      <c r="S40" s="34">
        <f t="shared" si="10"/>
        <v>81121764.83793771</v>
      </c>
      <c r="T40" s="34"/>
    </row>
    <row r="41" spans="2:20" ht="14.25">
      <c r="B41" s="7" t="s">
        <v>537</v>
      </c>
      <c r="C41" s="183"/>
      <c r="D41" s="183"/>
      <c r="E41" s="6">
        <v>3125000000</v>
      </c>
      <c r="F41" s="6">
        <v>1150000000</v>
      </c>
      <c r="G41" s="16" t="s">
        <v>538</v>
      </c>
      <c r="J41" s="17"/>
      <c r="K41" s="181">
        <v>42705</v>
      </c>
      <c r="L41" s="118">
        <f t="shared" si="12"/>
        <v>10833333.333333334</v>
      </c>
      <c r="M41" s="119">
        <f t="shared" si="13"/>
        <v>75833333.33333346</v>
      </c>
      <c r="N41" s="17"/>
      <c r="O41" s="34"/>
      <c r="P41" s="181">
        <f t="shared" si="8"/>
        <v>42705</v>
      </c>
      <c r="Q41" s="118">
        <f t="shared" si="9"/>
        <v>10833333.333333334</v>
      </c>
      <c r="R41" s="118">
        <f t="shared" si="1"/>
        <v>1211261.2396624885</v>
      </c>
      <c r="S41" s="119">
        <f t="shared" si="10"/>
        <v>71499692.74426687</v>
      </c>
      <c r="T41" s="119">
        <f>+M41-S41</f>
        <v>4333640.589066595</v>
      </c>
    </row>
    <row r="42" spans="3:20" ht="14.25">
      <c r="C42" s="32"/>
      <c r="D42" s="32"/>
      <c r="E42" s="32"/>
      <c r="J42" s="17"/>
      <c r="K42" s="180">
        <v>42736</v>
      </c>
      <c r="L42" s="17">
        <f t="shared" si="12"/>
        <v>10833333.333333334</v>
      </c>
      <c r="M42" s="34">
        <f t="shared" si="13"/>
        <v>65000000.00000013</v>
      </c>
      <c r="N42" s="17"/>
      <c r="O42" s="34"/>
      <c r="P42" s="180">
        <f t="shared" si="8"/>
        <v>42736</v>
      </c>
      <c r="Q42" s="17">
        <f t="shared" si="9"/>
        <v>10833333.333333334</v>
      </c>
      <c r="R42" s="17">
        <f t="shared" si="1"/>
        <v>1067590.2655954766</v>
      </c>
      <c r="S42" s="34">
        <f t="shared" si="10"/>
        <v>61733949.67652901</v>
      </c>
      <c r="T42" s="34"/>
    </row>
    <row r="43" spans="3:20" ht="14.25">
      <c r="C43" s="32"/>
      <c r="D43" s="32"/>
      <c r="E43" s="32"/>
      <c r="J43" s="17"/>
      <c r="K43" s="180">
        <v>42767</v>
      </c>
      <c r="L43" s="17">
        <f t="shared" si="12"/>
        <v>10833333.333333334</v>
      </c>
      <c r="M43" s="34">
        <f t="shared" si="13"/>
        <v>54166666.66666679</v>
      </c>
      <c r="N43" s="17"/>
      <c r="O43" s="34"/>
      <c r="P43" s="180">
        <f t="shared" si="8"/>
        <v>42767</v>
      </c>
      <c r="Q43" s="17">
        <f t="shared" si="9"/>
        <v>10833333.333333334</v>
      </c>
      <c r="R43" s="17">
        <f t="shared" si="1"/>
        <v>921774.08324189</v>
      </c>
      <c r="S43" s="34">
        <f t="shared" si="10"/>
        <v>51822390.426437564</v>
      </c>
      <c r="T43" s="34"/>
    </row>
    <row r="44" spans="3:20" ht="14.25">
      <c r="C44" s="32"/>
      <c r="D44" s="32"/>
      <c r="E44" s="32"/>
      <c r="J44" s="17"/>
      <c r="K44" s="180">
        <v>42795</v>
      </c>
      <c r="L44" s="17">
        <f t="shared" si="12"/>
        <v>10833333.333333334</v>
      </c>
      <c r="M44" s="34">
        <f t="shared" si="13"/>
        <v>43333333.333333455</v>
      </c>
      <c r="N44" s="17"/>
      <c r="O44" s="34"/>
      <c r="P44" s="180">
        <f t="shared" si="8"/>
        <v>42795</v>
      </c>
      <c r="Q44" s="17">
        <f t="shared" si="9"/>
        <v>10833333.333333334</v>
      </c>
      <c r="R44" s="17">
        <f t="shared" si="1"/>
        <v>773780.6616461182</v>
      </c>
      <c r="S44" s="34">
        <f t="shared" si="10"/>
        <v>41762837.75475035</v>
      </c>
      <c r="T44" s="34"/>
    </row>
    <row r="45" spans="3:20" ht="30">
      <c r="C45" s="32"/>
      <c r="D45" s="86" t="s">
        <v>518</v>
      </c>
      <c r="E45" s="86" t="s">
        <v>521</v>
      </c>
      <c r="F45" s="86" t="s">
        <v>522</v>
      </c>
      <c r="J45" s="17"/>
      <c r="K45" s="180">
        <v>42826</v>
      </c>
      <c r="L45" s="17">
        <f t="shared" si="12"/>
        <v>10833333.333333334</v>
      </c>
      <c r="M45" s="34">
        <f t="shared" si="13"/>
        <v>32500000.00000012</v>
      </c>
      <c r="N45" s="17"/>
      <c r="O45" s="34"/>
      <c r="P45" s="180">
        <f t="shared" si="8"/>
        <v>42826</v>
      </c>
      <c r="Q45" s="17">
        <f t="shared" si="9"/>
        <v>10833333.333333334</v>
      </c>
      <c r="R45" s="17">
        <f t="shared" si="1"/>
        <v>623577.4915856513</v>
      </c>
      <c r="S45" s="34">
        <f t="shared" si="10"/>
        <v>31553081.913002662</v>
      </c>
      <c r="T45" s="34"/>
    </row>
    <row r="46" spans="2:20" ht="15">
      <c r="B46" s="72" t="s">
        <v>260</v>
      </c>
      <c r="C46" s="79">
        <f>SUM(C47:C49)</f>
        <v>0</v>
      </c>
      <c r="D46" s="79">
        <f>SUM(D47:D50)</f>
        <v>0</v>
      </c>
      <c r="E46" s="79">
        <f>SUM(E47:E50)</f>
        <v>8628300000</v>
      </c>
      <c r="F46" s="79">
        <f>SUM(F47:F50)</f>
        <v>8073700000</v>
      </c>
      <c r="J46" s="17"/>
      <c r="K46" s="180">
        <v>42856</v>
      </c>
      <c r="L46" s="17">
        <f t="shared" si="12"/>
        <v>10833333.333333334</v>
      </c>
      <c r="M46" s="34">
        <f t="shared" si="13"/>
        <v>21666666.666666783</v>
      </c>
      <c r="N46" s="17"/>
      <c r="O46" s="34"/>
      <c r="P46" s="180">
        <f t="shared" si="8"/>
        <v>42856</v>
      </c>
      <c r="Q46" s="17">
        <f t="shared" si="9"/>
        <v>10833333.333333334</v>
      </c>
      <c r="R46" s="17">
        <f t="shared" si="1"/>
        <v>471131.5784298864</v>
      </c>
      <c r="S46" s="34">
        <f t="shared" si="10"/>
        <v>21190880.15809921</v>
      </c>
      <c r="T46" s="34"/>
    </row>
    <row r="47" spans="2:20" ht="14.25">
      <c r="B47" s="7" t="s">
        <v>541</v>
      </c>
      <c r="C47" s="183"/>
      <c r="D47" s="183"/>
      <c r="E47" s="6">
        <v>0</v>
      </c>
      <c r="F47" s="6">
        <v>0</v>
      </c>
      <c r="J47" s="17"/>
      <c r="K47" s="180">
        <v>42887</v>
      </c>
      <c r="L47" s="17">
        <f t="shared" si="12"/>
        <v>10833333.333333334</v>
      </c>
      <c r="M47" s="34">
        <f t="shared" si="13"/>
        <v>10833333.33333345</v>
      </c>
      <c r="N47" s="17"/>
      <c r="O47" s="34"/>
      <c r="P47" s="180">
        <f t="shared" si="8"/>
        <v>42887</v>
      </c>
      <c r="Q47" s="17">
        <f t="shared" si="9"/>
        <v>10833333.333333334</v>
      </c>
      <c r="R47" s="17">
        <f t="shared" si="1"/>
        <v>316409.43489230686</v>
      </c>
      <c r="S47" s="34">
        <f t="shared" si="10"/>
        <v>10673956.259658186</v>
      </c>
      <c r="T47" s="34"/>
    </row>
    <row r="48" spans="2:20" ht="14.25">
      <c r="B48" s="7" t="s">
        <v>539</v>
      </c>
      <c r="C48" s="183"/>
      <c r="D48" s="183"/>
      <c r="E48" s="6">
        <v>2935350000</v>
      </c>
      <c r="F48" s="6">
        <v>2052900000</v>
      </c>
      <c r="J48" s="17"/>
      <c r="K48" s="180">
        <v>42917</v>
      </c>
      <c r="L48" s="17">
        <f>+L47</f>
        <v>10833333.333333334</v>
      </c>
      <c r="M48" s="119">
        <f>+M47-L48</f>
        <v>1.1548399925231934E-07</v>
      </c>
      <c r="N48" s="17"/>
      <c r="O48" s="34"/>
      <c r="P48" s="180">
        <f t="shared" si="8"/>
        <v>42917</v>
      </c>
      <c r="Q48" s="17">
        <f t="shared" si="9"/>
        <v>10833333.333333334</v>
      </c>
      <c r="R48" s="17">
        <f t="shared" si="1"/>
        <v>159377.07367444196</v>
      </c>
      <c r="S48" s="119">
        <f t="shared" si="10"/>
        <v>-7.059425115585327E-07</v>
      </c>
      <c r="T48" s="34"/>
    </row>
    <row r="49" spans="2:20" ht="15">
      <c r="B49" s="7" t="s">
        <v>536</v>
      </c>
      <c r="C49" s="183"/>
      <c r="D49" s="183"/>
      <c r="E49" s="6">
        <v>4286700000</v>
      </c>
      <c r="F49" s="6">
        <v>5185800000</v>
      </c>
      <c r="J49" s="17"/>
      <c r="N49" s="17"/>
      <c r="O49" s="34"/>
      <c r="P49" s="180"/>
      <c r="Q49" s="182">
        <f>+IRR(Q12:Q48)</f>
        <v>0.014931396550387</v>
      </c>
      <c r="R49" s="17"/>
      <c r="S49" s="34"/>
      <c r="T49" s="34"/>
    </row>
    <row r="50" spans="2:20" ht="14.25">
      <c r="B50" s="7" t="s">
        <v>537</v>
      </c>
      <c r="C50" s="183"/>
      <c r="D50" s="183"/>
      <c r="E50" s="6">
        <v>1406250000</v>
      </c>
      <c r="F50" s="6">
        <v>835000000</v>
      </c>
      <c r="G50" s="16" t="s">
        <v>538</v>
      </c>
      <c r="J50" s="17"/>
      <c r="K50" s="180"/>
      <c r="L50" s="17"/>
      <c r="M50" s="34"/>
      <c r="N50" s="17"/>
      <c r="O50" s="34"/>
      <c r="P50" s="17"/>
      <c r="R50" s="17"/>
      <c r="S50" s="34"/>
      <c r="T50" s="34"/>
    </row>
    <row r="51" spans="3:20" ht="14.25">
      <c r="C51" s="32"/>
      <c r="D51" s="32"/>
      <c r="E51" s="32"/>
      <c r="J51" s="17"/>
      <c r="K51" s="180"/>
      <c r="L51" s="17"/>
      <c r="M51" s="34"/>
      <c r="N51" s="17"/>
      <c r="O51" s="34"/>
      <c r="P51" s="17"/>
      <c r="Q51" s="17"/>
      <c r="R51" s="17"/>
      <c r="S51" s="34"/>
      <c r="T51" s="34"/>
    </row>
    <row r="52" spans="3:20" ht="14.25">
      <c r="C52" s="32"/>
      <c r="D52" s="32"/>
      <c r="E52" s="32"/>
      <c r="J52" s="17"/>
      <c r="K52" s="180"/>
      <c r="L52" s="17"/>
      <c r="M52" s="34"/>
      <c r="N52" s="17"/>
      <c r="O52" s="34"/>
      <c r="P52" s="17"/>
      <c r="Q52" s="17"/>
      <c r="R52" s="17"/>
      <c r="S52" s="34"/>
      <c r="T52" s="34"/>
    </row>
    <row r="53" spans="3:20" ht="15">
      <c r="C53" s="32"/>
      <c r="D53" s="32"/>
      <c r="E53" s="86" t="s">
        <v>521</v>
      </c>
      <c r="F53" s="86" t="s">
        <v>522</v>
      </c>
      <c r="J53" s="17"/>
      <c r="K53" s="17"/>
      <c r="L53" s="17"/>
      <c r="M53" s="34"/>
      <c r="N53" s="17"/>
      <c r="O53" s="34"/>
      <c r="P53" s="17"/>
      <c r="Q53" s="17"/>
      <c r="R53" s="17"/>
      <c r="S53" s="34"/>
      <c r="T53" s="34"/>
    </row>
    <row r="54" spans="2:20" ht="14.25">
      <c r="B54" s="16" t="s">
        <v>540</v>
      </c>
      <c r="C54" s="32"/>
      <c r="D54" s="32"/>
      <c r="E54" s="6">
        <f>SUM(R19:R30)</f>
        <v>39465778.10284747</v>
      </c>
      <c r="F54" s="6">
        <f>SUM(R31:R41)</f>
        <v>20775810.589279458</v>
      </c>
      <c r="J54" s="17"/>
      <c r="K54" s="17"/>
      <c r="L54" s="17"/>
      <c r="M54" s="34"/>
      <c r="N54" s="17"/>
      <c r="O54" s="34"/>
      <c r="P54" s="17"/>
      <c r="Q54" s="17"/>
      <c r="R54" s="17"/>
      <c r="S54" s="34"/>
      <c r="T54" s="34"/>
    </row>
    <row r="55" spans="2:20" ht="14.25">
      <c r="B55" s="16" t="s">
        <v>545</v>
      </c>
      <c r="C55" s="32"/>
      <c r="D55" s="32"/>
      <c r="E55" s="39">
        <f>+M72</f>
        <v>21404905.476831738</v>
      </c>
      <c r="F55" s="6">
        <f>+M73</f>
        <v>17967913.179283228</v>
      </c>
      <c r="J55" s="17"/>
      <c r="K55" s="17"/>
      <c r="L55" s="17"/>
      <c r="M55" s="34"/>
      <c r="N55" s="17"/>
      <c r="O55" s="34"/>
      <c r="P55" s="17"/>
      <c r="Q55" s="17"/>
      <c r="R55" s="17"/>
      <c r="S55" s="34"/>
      <c r="T55" s="34"/>
    </row>
    <row r="56" spans="2:20" ht="15">
      <c r="B56" s="25" t="s">
        <v>547</v>
      </c>
      <c r="C56" s="167"/>
      <c r="D56" s="167"/>
      <c r="E56" s="184">
        <f>SUM(E54:E55)</f>
        <v>60870683.579679206</v>
      </c>
      <c r="F56" s="184">
        <f>SUM(F54:F55)</f>
        <v>38743723.76856269</v>
      </c>
      <c r="J56" s="17"/>
      <c r="K56" s="17"/>
      <c r="L56" s="17"/>
      <c r="M56" s="34"/>
      <c r="N56" s="17"/>
      <c r="O56" s="34"/>
      <c r="P56" s="17"/>
      <c r="Q56" s="17"/>
      <c r="R56" s="17"/>
      <c r="S56" s="34"/>
      <c r="T56" s="34"/>
    </row>
    <row r="57" spans="3:20" ht="14.25">
      <c r="C57" s="32"/>
      <c r="D57" s="32"/>
      <c r="E57" s="32"/>
      <c r="J57" s="17"/>
      <c r="K57" s="17"/>
      <c r="L57" s="17"/>
      <c r="M57" s="34"/>
      <c r="N57" s="17"/>
      <c r="O57" s="34"/>
      <c r="P57" s="17"/>
      <c r="Q57" s="17"/>
      <c r="R57" s="17"/>
      <c r="S57" s="34"/>
      <c r="T57" s="34"/>
    </row>
    <row r="58" spans="3:20" ht="14.25">
      <c r="C58" s="32"/>
      <c r="D58" s="32"/>
      <c r="E58" s="32"/>
      <c r="J58" s="17"/>
      <c r="K58" s="17"/>
      <c r="L58" s="17"/>
      <c r="M58" s="34"/>
      <c r="N58" s="17"/>
      <c r="O58" s="34"/>
      <c r="P58" s="17"/>
      <c r="Q58" s="17"/>
      <c r="R58" s="17"/>
      <c r="S58" s="34"/>
      <c r="T58" s="34"/>
    </row>
    <row r="59" spans="3:20" ht="14.25">
      <c r="C59" s="32"/>
      <c r="D59" s="32"/>
      <c r="E59" s="32"/>
      <c r="J59" s="17"/>
      <c r="K59" s="17"/>
      <c r="L59" s="17"/>
      <c r="M59" s="34"/>
      <c r="N59" s="17"/>
      <c r="O59" s="34"/>
      <c r="P59" s="17"/>
      <c r="Q59" s="17"/>
      <c r="R59" s="17"/>
      <c r="S59" s="34"/>
      <c r="T59" s="34"/>
    </row>
    <row r="60" spans="3:20" s="121" customFormat="1" ht="14.25">
      <c r="C60" s="185"/>
      <c r="D60" s="185"/>
      <c r="E60" s="185"/>
      <c r="J60" s="118"/>
      <c r="K60" s="118"/>
      <c r="L60" s="118"/>
      <c r="M60" s="119"/>
      <c r="N60" s="118"/>
      <c r="O60" s="119"/>
      <c r="P60" s="118"/>
      <c r="Q60" s="118"/>
      <c r="R60" s="118"/>
      <c r="S60" s="119"/>
      <c r="T60" s="119"/>
    </row>
    <row r="61" spans="3:20" ht="14.25">
      <c r="C61" s="32"/>
      <c r="D61" s="32"/>
      <c r="E61" s="32"/>
      <c r="J61" s="17"/>
      <c r="K61" s="17"/>
      <c r="L61" s="17"/>
      <c r="M61" s="34"/>
      <c r="N61" s="17"/>
      <c r="O61" s="34"/>
      <c r="P61" s="17"/>
      <c r="Q61" s="17"/>
      <c r="R61" s="17"/>
      <c r="S61" s="34"/>
      <c r="T61" s="34"/>
    </row>
    <row r="62" spans="2:10" ht="14.25">
      <c r="B62" s="74" t="s">
        <v>550</v>
      </c>
      <c r="C62" s="74"/>
      <c r="E62" s="32"/>
      <c r="J62" s="17"/>
    </row>
    <row r="63" spans="2:10" ht="15">
      <c r="B63" s="186" t="s">
        <v>549</v>
      </c>
      <c r="C63" s="86" t="s">
        <v>518</v>
      </c>
      <c r="D63" s="86" t="s">
        <v>521</v>
      </c>
      <c r="E63" s="86" t="s">
        <v>522</v>
      </c>
      <c r="J63" s="17"/>
    </row>
    <row r="64" spans="2:10" ht="15">
      <c r="B64" s="72" t="s">
        <v>7</v>
      </c>
      <c r="C64" s="79">
        <f>SUM(C65:C68)</f>
        <v>279827048</v>
      </c>
      <c r="D64" s="79">
        <f>SUM(D65:D68)</f>
        <v>161711219</v>
      </c>
      <c r="E64" s="79">
        <f>SUM(E65:E68)</f>
        <v>128662288</v>
      </c>
      <c r="J64" s="17"/>
    </row>
    <row r="65" spans="2:10" ht="14.25">
      <c r="B65" s="7" t="s">
        <v>91</v>
      </c>
      <c r="C65" s="6">
        <v>0</v>
      </c>
      <c r="D65" s="6">
        <v>0</v>
      </c>
      <c r="E65" s="6">
        <v>0</v>
      </c>
      <c r="J65" s="17"/>
    </row>
    <row r="66" spans="2:5" ht="14.25">
      <c r="B66" s="7" t="s">
        <v>92</v>
      </c>
      <c r="C66" s="6">
        <v>0</v>
      </c>
      <c r="D66" s="6">
        <v>0</v>
      </c>
      <c r="E66" s="6">
        <v>0</v>
      </c>
    </row>
    <row r="67" spans="2:5" ht="14.25">
      <c r="B67" s="7" t="s">
        <v>93</v>
      </c>
      <c r="C67" s="6">
        <f>+ROUND((D32*0.33),0)</f>
        <v>106081091</v>
      </c>
      <c r="D67" s="6">
        <f>+ROUND((E32*0.33),0)</f>
        <v>0</v>
      </c>
      <c r="E67" s="6">
        <f>+ROUND((F32*0.33),0)</f>
        <v>0</v>
      </c>
    </row>
    <row r="68" spans="2:5" ht="14.25">
      <c r="B68" s="7" t="s">
        <v>406</v>
      </c>
      <c r="C68" s="6">
        <f>+ROUND((D33*0.66),0)</f>
        <v>173745957</v>
      </c>
      <c r="D68" s="6">
        <f>+ROUND((E33*0.99),0)</f>
        <v>161711219</v>
      </c>
      <c r="E68" s="6">
        <f>+ROUND((F33*1),0)</f>
        <v>128662288</v>
      </c>
    </row>
    <row r="69" spans="2:17" ht="15">
      <c r="B69" s="11" t="s">
        <v>551</v>
      </c>
      <c r="C69" s="8">
        <f>+C64</f>
        <v>279827048</v>
      </c>
      <c r="D69" s="8">
        <f>+D64</f>
        <v>161711219</v>
      </c>
      <c r="E69" s="8">
        <f>+E64</f>
        <v>128662288</v>
      </c>
      <c r="J69" s="62"/>
      <c r="K69" s="25" t="s">
        <v>412</v>
      </c>
      <c r="M69" s="32"/>
      <c r="N69" s="32"/>
      <c r="P69" s="34"/>
      <c r="Q69" s="130"/>
    </row>
    <row r="70" spans="8:15" ht="15">
      <c r="H70" s="25" t="s">
        <v>411</v>
      </c>
      <c r="J70" s="17"/>
      <c r="L70" s="16" t="s">
        <v>59</v>
      </c>
      <c r="M70" s="16" t="s">
        <v>326</v>
      </c>
      <c r="N70" s="16" t="s">
        <v>68</v>
      </c>
      <c r="O70" s="34"/>
    </row>
    <row r="71" spans="10:14" ht="14.25">
      <c r="J71" s="17"/>
      <c r="K71" s="16" t="s">
        <v>546</v>
      </c>
      <c r="N71" s="132">
        <f>+L77</f>
        <v>194590049.78937942</v>
      </c>
    </row>
    <row r="72" spans="1:14" ht="15">
      <c r="A72" s="186" t="s">
        <v>164</v>
      </c>
      <c r="B72" s="186"/>
      <c r="C72" s="186"/>
      <c r="D72" s="186"/>
      <c r="E72" s="186"/>
      <c r="G72" s="16" t="s">
        <v>408</v>
      </c>
      <c r="I72" s="32">
        <f>+D24</f>
        <v>321457850</v>
      </c>
      <c r="J72" s="34"/>
      <c r="K72" s="16" t="s">
        <v>98</v>
      </c>
      <c r="L72" s="17">
        <f>+D33/5</f>
        <v>52650290</v>
      </c>
      <c r="M72" s="17">
        <f>+N71*11/100</f>
        <v>21404905.476831738</v>
      </c>
      <c r="N72" s="17">
        <f>+N71+M72-L72</f>
        <v>163344665.26621115</v>
      </c>
    </row>
    <row r="73" spans="1:14" ht="15">
      <c r="A73" s="77"/>
      <c r="B73" s="78"/>
      <c r="C73" s="86" t="s">
        <v>518</v>
      </c>
      <c r="D73" s="86" t="s">
        <v>521</v>
      </c>
      <c r="E73" s="86" t="s">
        <v>522</v>
      </c>
      <c r="G73" s="16" t="s">
        <v>409</v>
      </c>
      <c r="I73" s="32">
        <f>+I72*50%</f>
        <v>160728925</v>
      </c>
      <c r="J73" s="48"/>
      <c r="K73" s="16" t="s">
        <v>225</v>
      </c>
      <c r="L73" s="34">
        <f>+L72</f>
        <v>52650290</v>
      </c>
      <c r="M73" s="17">
        <f>+N72*11/100</f>
        <v>17967913.179283228</v>
      </c>
      <c r="N73" s="17">
        <f>+N72+M73-L73</f>
        <v>128662288.44549438</v>
      </c>
    </row>
    <row r="74" spans="1:14" ht="15">
      <c r="A74" s="72" t="s">
        <v>146</v>
      </c>
      <c r="B74" s="72" t="s">
        <v>7</v>
      </c>
      <c r="C74" s="79">
        <f>SUM(C75:C78)</f>
        <v>245318416.87728727</v>
      </c>
      <c r="D74" s="79">
        <f>SUM(D75:D78)</f>
        <v>47256494.73378885</v>
      </c>
      <c r="E74" s="79">
        <f>SUM(E75:E78)</f>
        <v>29288581.55450562</v>
      </c>
      <c r="G74" s="16" t="s">
        <v>410</v>
      </c>
      <c r="I74" s="32">
        <f>+NPV(11%,I73)</f>
        <v>144800833.3333333</v>
      </c>
      <c r="J74" s="42"/>
      <c r="K74" s="16" t="s">
        <v>413</v>
      </c>
      <c r="L74" s="34">
        <f>+L73</f>
        <v>52650290</v>
      </c>
      <c r="M74" s="17">
        <f>+N73*11/100</f>
        <v>14152851.729004383</v>
      </c>
      <c r="N74" s="17">
        <f>+N73+M74-L74</f>
        <v>90164850.17449877</v>
      </c>
    </row>
    <row r="75" spans="1:14" ht="15">
      <c r="A75" s="7">
        <v>130505</v>
      </c>
      <c r="B75" s="7" t="s">
        <v>179</v>
      </c>
      <c r="C75" s="6"/>
      <c r="D75" s="6"/>
      <c r="E75" s="6"/>
      <c r="G75" s="25" t="s">
        <v>8</v>
      </c>
      <c r="H75" s="25"/>
      <c r="I75" s="167">
        <f>+I72-I74</f>
        <v>176657016.6666667</v>
      </c>
      <c r="J75" s="42"/>
      <c r="K75" s="16" t="s">
        <v>414</v>
      </c>
      <c r="L75" s="34">
        <f>+L74</f>
        <v>52650290</v>
      </c>
      <c r="M75" s="17">
        <f>+N74*11/100</f>
        <v>9918133.519194864</v>
      </c>
      <c r="N75" s="17">
        <f>+N74+M75-L75</f>
        <v>47432693.69369364</v>
      </c>
    </row>
    <row r="76" spans="1:14" ht="14.25">
      <c r="A76" s="7">
        <v>130505</v>
      </c>
      <c r="B76" s="7" t="s">
        <v>180</v>
      </c>
      <c r="C76" s="6"/>
      <c r="D76" s="6"/>
      <c r="E76" s="6"/>
      <c r="K76" s="16" t="s">
        <v>544</v>
      </c>
      <c r="L76" s="34">
        <f>+L75</f>
        <v>52650290</v>
      </c>
      <c r="M76" s="17">
        <f>+N75*11/100</f>
        <v>5217596.3063063</v>
      </c>
      <c r="N76" s="118">
        <f>+N75+M76-L76</f>
        <v>-5.960464477539063E-08</v>
      </c>
    </row>
    <row r="77" spans="1:13" ht="14.25">
      <c r="A77" s="7">
        <v>130505</v>
      </c>
      <c r="B77" s="7" t="s">
        <v>93</v>
      </c>
      <c r="C77" s="6">
        <f>+I75</f>
        <v>176657016.6666667</v>
      </c>
      <c r="D77" s="6">
        <v>0</v>
      </c>
      <c r="E77" s="6">
        <v>0</v>
      </c>
      <c r="G77" s="16" t="s">
        <v>273</v>
      </c>
      <c r="K77" s="16" t="s">
        <v>0</v>
      </c>
      <c r="L77" s="132">
        <f>+NPV(11%,L72:L76)</f>
        <v>194590049.78937942</v>
      </c>
      <c r="M77" s="16" t="s">
        <v>415</v>
      </c>
    </row>
    <row r="78" spans="1:13" ht="14.25">
      <c r="A78" s="7">
        <v>130505</v>
      </c>
      <c r="B78" s="7" t="s">
        <v>223</v>
      </c>
      <c r="C78" s="6">
        <f>+L79</f>
        <v>68661400.21062058</v>
      </c>
      <c r="D78" s="6">
        <f>+L80</f>
        <v>47256494.73378885</v>
      </c>
      <c r="E78" s="6">
        <f>+L81</f>
        <v>29288581.55450562</v>
      </c>
      <c r="G78" s="16" t="s">
        <v>407</v>
      </c>
      <c r="L78" s="132">
        <f>+D33</f>
        <v>263251450</v>
      </c>
      <c r="M78" s="16" t="s">
        <v>408</v>
      </c>
    </row>
    <row r="79" spans="7:13" ht="15">
      <c r="G79" s="16" t="s">
        <v>543</v>
      </c>
      <c r="L79" s="168">
        <f>+L78-L77</f>
        <v>68661400.21062058</v>
      </c>
      <c r="M79" s="25" t="s">
        <v>552</v>
      </c>
    </row>
    <row r="80" spans="12:13" ht="15">
      <c r="L80" s="168">
        <f>+L79-M72</f>
        <v>47256494.73378885</v>
      </c>
      <c r="M80" s="25" t="s">
        <v>553</v>
      </c>
    </row>
    <row r="81" spans="9:13" ht="15">
      <c r="I81" s="132"/>
      <c r="L81" s="168">
        <f>+L80-M73</f>
        <v>29288581.55450562</v>
      </c>
      <c r="M81" s="25" t="s">
        <v>554</v>
      </c>
    </row>
    <row r="82" spans="9:12" s="121" customFormat="1" ht="14.25">
      <c r="I82" s="187"/>
      <c r="L82" s="187"/>
    </row>
    <row r="83" spans="9:12" s="121" customFormat="1" ht="14.25">
      <c r="I83" s="187"/>
      <c r="L83" s="187"/>
    </row>
    <row r="84" spans="9:12" ht="14.25">
      <c r="I84" s="132"/>
      <c r="L84" s="132"/>
    </row>
    <row r="85" spans="9:12" ht="14.25">
      <c r="I85" s="132"/>
      <c r="L85" s="132"/>
    </row>
    <row r="86" spans="9:12" ht="14.25">
      <c r="I86" s="132"/>
      <c r="L86" s="132"/>
    </row>
    <row r="87" spans="1:5" ht="15">
      <c r="A87" s="75" t="s">
        <v>382</v>
      </c>
      <c r="B87" s="74"/>
      <c r="C87" s="74"/>
      <c r="D87" s="74"/>
      <c r="E87" s="74"/>
    </row>
    <row r="88" spans="1:6" ht="15">
      <c r="A88" s="72" t="s">
        <v>146</v>
      </c>
      <c r="B88" s="72" t="s">
        <v>1</v>
      </c>
      <c r="C88" s="73" t="s">
        <v>53</v>
      </c>
      <c r="D88" s="86" t="s">
        <v>518</v>
      </c>
      <c r="E88" s="86" t="s">
        <v>521</v>
      </c>
      <c r="F88" s="86" t="s">
        <v>522</v>
      </c>
    </row>
    <row r="89" spans="1:15" ht="14.25">
      <c r="A89" s="7">
        <v>133015</v>
      </c>
      <c r="B89" s="33" t="s">
        <v>54</v>
      </c>
      <c r="C89" s="6">
        <v>6551452</v>
      </c>
      <c r="D89" s="6">
        <f>+C89</f>
        <v>6551452</v>
      </c>
      <c r="E89" s="6">
        <v>12526000</v>
      </c>
      <c r="F89" s="6">
        <v>6315000</v>
      </c>
      <c r="I89" s="17"/>
      <c r="K89" s="34"/>
      <c r="O89" s="17"/>
    </row>
    <row r="90" spans="1:15" ht="14.25">
      <c r="A90" s="7">
        <v>1345</v>
      </c>
      <c r="B90" s="33" t="s">
        <v>381</v>
      </c>
      <c r="C90" s="6">
        <v>698548</v>
      </c>
      <c r="D90" s="6">
        <v>0</v>
      </c>
      <c r="E90" s="6"/>
      <c r="F90" s="6"/>
      <c r="I90" s="17"/>
      <c r="K90" s="34"/>
      <c r="O90" s="17"/>
    </row>
    <row r="91" spans="1:15" ht="15">
      <c r="A91" s="71"/>
      <c r="B91" s="80" t="s">
        <v>9</v>
      </c>
      <c r="C91" s="79">
        <f>SUM(C89:C90)</f>
        <v>7250000</v>
      </c>
      <c r="D91" s="79">
        <f>SUM(D89:D90)</f>
        <v>6551452</v>
      </c>
      <c r="E91" s="79">
        <f>SUM(E89:E90)</f>
        <v>12526000</v>
      </c>
      <c r="F91" s="79">
        <f>SUM(F89:F90)</f>
        <v>6315000</v>
      </c>
      <c r="I91" s="17"/>
      <c r="J91" s="17"/>
      <c r="K91" s="34"/>
      <c r="O91" s="17"/>
    </row>
    <row r="92" spans="9:15" ht="14.25">
      <c r="I92" s="17"/>
      <c r="J92" s="17"/>
      <c r="K92" s="34"/>
      <c r="O92" s="17"/>
    </row>
    <row r="93" spans="9:15" ht="14.25">
      <c r="I93" s="17"/>
      <c r="J93" s="17"/>
      <c r="K93" s="34"/>
      <c r="O93" s="17"/>
    </row>
    <row r="94" spans="1:15" ht="15">
      <c r="A94" s="75" t="s">
        <v>165</v>
      </c>
      <c r="B94" s="74"/>
      <c r="C94" s="74"/>
      <c r="D94" s="74"/>
      <c r="E94" s="74"/>
      <c r="I94" s="17"/>
      <c r="J94" s="17"/>
      <c r="K94" s="34"/>
      <c r="O94" s="17"/>
    </row>
    <row r="95" spans="1:15" ht="15">
      <c r="A95" s="72" t="s">
        <v>146</v>
      </c>
      <c r="B95" s="72" t="s">
        <v>1</v>
      </c>
      <c r="C95" s="73" t="s">
        <v>53</v>
      </c>
      <c r="D95" s="86" t="s">
        <v>518</v>
      </c>
      <c r="E95" s="86" t="s">
        <v>521</v>
      </c>
      <c r="F95" s="86" t="s">
        <v>522</v>
      </c>
      <c r="I95" s="17"/>
      <c r="J95" s="17"/>
      <c r="K95" s="34"/>
      <c r="O95" s="17"/>
    </row>
    <row r="96" spans="1:15" ht="14.25">
      <c r="A96" s="7">
        <v>135520</v>
      </c>
      <c r="B96" s="33" t="s">
        <v>55</v>
      </c>
      <c r="C96" s="6">
        <v>127526000</v>
      </c>
      <c r="D96" s="6">
        <f>+C96</f>
        <v>127526000</v>
      </c>
      <c r="E96" s="6">
        <v>135000000</v>
      </c>
      <c r="F96" s="6">
        <v>62325000</v>
      </c>
      <c r="I96" s="17"/>
      <c r="J96" s="17"/>
      <c r="K96" s="34"/>
      <c r="O96" s="17"/>
    </row>
    <row r="97" spans="1:15" ht="14.25">
      <c r="A97" s="7">
        <v>135520</v>
      </c>
      <c r="B97" s="33" t="s">
        <v>133</v>
      </c>
      <c r="C97" s="6">
        <v>67560000</v>
      </c>
      <c r="D97" s="6">
        <v>67560000</v>
      </c>
      <c r="E97" s="6">
        <v>0</v>
      </c>
      <c r="F97" s="6">
        <v>0</v>
      </c>
      <c r="G97" s="16" t="s">
        <v>86</v>
      </c>
      <c r="I97" s="17"/>
      <c r="J97" s="17"/>
      <c r="K97" s="34"/>
      <c r="O97" s="17"/>
    </row>
    <row r="98" spans="9:15" ht="14.25">
      <c r="I98" s="17"/>
      <c r="J98" s="17"/>
      <c r="K98" s="34"/>
      <c r="O98" s="17"/>
    </row>
    <row r="99" spans="9:15" ht="14.25">
      <c r="I99" s="17"/>
      <c r="J99" s="17"/>
      <c r="K99" s="34"/>
      <c r="O99" s="57"/>
    </row>
    <row r="100" spans="9:15" s="121" customFormat="1" ht="14.25">
      <c r="I100" s="118"/>
      <c r="J100" s="118"/>
      <c r="K100" s="119"/>
      <c r="O100" s="188"/>
    </row>
    <row r="102" spans="1:11" ht="15">
      <c r="A102" s="75" t="s">
        <v>166</v>
      </c>
      <c r="B102" s="75"/>
      <c r="C102" s="74"/>
      <c r="D102" s="74"/>
      <c r="E102" s="74"/>
      <c r="K102" s="34"/>
    </row>
    <row r="103" spans="1:10" ht="15">
      <c r="A103" s="72" t="s">
        <v>146</v>
      </c>
      <c r="B103" s="72" t="s">
        <v>1</v>
      </c>
      <c r="C103" s="73" t="s">
        <v>53</v>
      </c>
      <c r="D103" s="73" t="s">
        <v>29</v>
      </c>
      <c r="E103" s="73" t="s">
        <v>145</v>
      </c>
      <c r="J103" s="34"/>
    </row>
    <row r="104" spans="1:6" ht="14.25">
      <c r="A104" s="7">
        <v>136510</v>
      </c>
      <c r="B104" s="7" t="s">
        <v>126</v>
      </c>
      <c r="C104" s="6">
        <f>+G117</f>
        <v>37500000</v>
      </c>
      <c r="D104" s="6">
        <f>+E104-C104</f>
        <v>-5390187.484782144</v>
      </c>
      <c r="E104" s="6">
        <f>+E117</f>
        <v>32109812.515217856</v>
      </c>
      <c r="F104" s="16" t="s">
        <v>299</v>
      </c>
    </row>
    <row r="105" spans="2:7" ht="15">
      <c r="B105" s="72" t="s">
        <v>56</v>
      </c>
      <c r="C105" s="79">
        <f>+C104</f>
        <v>37500000</v>
      </c>
      <c r="D105" s="79">
        <f>+D104</f>
        <v>-5390187.484782144</v>
      </c>
      <c r="E105" s="79">
        <f>+E104</f>
        <v>32109812.515217856</v>
      </c>
      <c r="F105" s="16" t="s">
        <v>141</v>
      </c>
      <c r="G105" s="60">
        <v>150000000</v>
      </c>
    </row>
    <row r="106" spans="3:7" ht="14.25">
      <c r="C106" s="34" t="s">
        <v>0</v>
      </c>
      <c r="F106" s="16" t="s">
        <v>226</v>
      </c>
      <c r="G106" s="60">
        <f>+G105/8</f>
        <v>18750000</v>
      </c>
    </row>
    <row r="108" ht="14.25">
      <c r="C108" s="34" t="s">
        <v>0</v>
      </c>
    </row>
    <row r="109" spans="2:5" ht="15">
      <c r="B109" s="75" t="s">
        <v>167</v>
      </c>
      <c r="C109" s="81"/>
      <c r="D109" s="74"/>
      <c r="E109" s="74"/>
    </row>
    <row r="110" spans="2:7" ht="15">
      <c r="B110" s="73"/>
      <c r="C110" s="73" t="s">
        <v>59</v>
      </c>
      <c r="D110" s="73" t="s">
        <v>60</v>
      </c>
      <c r="E110" s="73" t="s">
        <v>61</v>
      </c>
      <c r="G110" s="73" t="s">
        <v>140</v>
      </c>
    </row>
    <row r="111" spans="2:7" ht="15">
      <c r="B111" s="67" t="s">
        <v>151</v>
      </c>
      <c r="C111" s="4"/>
      <c r="D111" s="4"/>
      <c r="E111" s="126">
        <f>+C120</f>
        <v>96489801.76738274</v>
      </c>
      <c r="G111" s="4"/>
    </row>
    <row r="112" spans="2:8" ht="14.25">
      <c r="B112" s="7" t="s">
        <v>102</v>
      </c>
      <c r="C112" s="31">
        <v>18750000</v>
      </c>
      <c r="D112" s="31">
        <f>+E111*$C$121</f>
        <v>10613878.194412101</v>
      </c>
      <c r="E112" s="31">
        <f>+E111+D112-C112</f>
        <v>88353679.96179484</v>
      </c>
      <c r="F112" s="48">
        <f>+PV(12%,8,0,C112,0)</f>
        <v>-7572810.524613171</v>
      </c>
      <c r="G112" s="31">
        <f>G105-C112</f>
        <v>131250000</v>
      </c>
      <c r="H112" s="17"/>
    </row>
    <row r="113" spans="2:8" ht="14.25">
      <c r="B113" s="7" t="s">
        <v>101</v>
      </c>
      <c r="C113" s="31">
        <f aca="true" t="shared" si="14" ref="C113:C119">+C112</f>
        <v>18750000</v>
      </c>
      <c r="D113" s="31">
        <f aca="true" t="shared" si="15" ref="D113:D119">+E112*$C$121</f>
        <v>9718904.795797432</v>
      </c>
      <c r="E113" s="31">
        <f aca="true" t="shared" si="16" ref="E113:E119">+E112+D113-C113</f>
        <v>79322584.75759228</v>
      </c>
      <c r="F113" s="48">
        <f>+PV(12%,7,0,C113,0)</f>
        <v>-8481547.787566751</v>
      </c>
      <c r="G113" s="31">
        <f aca="true" t="shared" si="17" ref="G113:G119">+G112-C113</f>
        <v>112500000</v>
      </c>
      <c r="H113" s="17"/>
    </row>
    <row r="114" spans="2:8" ht="14.25">
      <c r="B114" s="7" t="s">
        <v>100</v>
      </c>
      <c r="C114" s="31">
        <f t="shared" si="14"/>
        <v>18750000</v>
      </c>
      <c r="D114" s="31">
        <f t="shared" si="15"/>
        <v>8725484.32333515</v>
      </c>
      <c r="E114" s="31">
        <f t="shared" si="16"/>
        <v>69298069.08092743</v>
      </c>
      <c r="F114" s="48">
        <f>+PV(12%,6,0,C114,0)</f>
        <v>-9499333.522074763</v>
      </c>
      <c r="G114" s="31">
        <f t="shared" si="17"/>
        <v>93750000</v>
      </c>
      <c r="H114" s="17"/>
    </row>
    <row r="115" spans="2:8" ht="14.25">
      <c r="B115" s="7" t="s">
        <v>99</v>
      </c>
      <c r="C115" s="31">
        <f t="shared" si="14"/>
        <v>18750000</v>
      </c>
      <c r="D115" s="31">
        <f t="shared" si="15"/>
        <v>7622787.598902018</v>
      </c>
      <c r="E115" s="31">
        <f t="shared" si="16"/>
        <v>58170856.67982945</v>
      </c>
      <c r="F115" s="48">
        <f>+PV(12%,5,0,C115,0)</f>
        <v>-10639253.544723736</v>
      </c>
      <c r="G115" s="31">
        <f t="shared" si="17"/>
        <v>75000000</v>
      </c>
      <c r="H115" s="17"/>
    </row>
    <row r="116" spans="2:8" ht="14.25">
      <c r="B116" s="7" t="s">
        <v>96</v>
      </c>
      <c r="C116" s="31">
        <f t="shared" si="14"/>
        <v>18750000</v>
      </c>
      <c r="D116" s="31">
        <f t="shared" si="15"/>
        <v>6398794.234781239</v>
      </c>
      <c r="E116" s="31">
        <f t="shared" si="16"/>
        <v>45819650.914610684</v>
      </c>
      <c r="F116" s="48">
        <f>+PV(12%,4,0,C116,0)</f>
        <v>-11915963.970090585</v>
      </c>
      <c r="G116" s="31">
        <f t="shared" si="17"/>
        <v>56250000</v>
      </c>
      <c r="H116" s="17"/>
    </row>
    <row r="117" spans="2:8" ht="14.25">
      <c r="B117" s="15" t="s">
        <v>97</v>
      </c>
      <c r="C117" s="43">
        <f t="shared" si="14"/>
        <v>18750000</v>
      </c>
      <c r="D117" s="43">
        <f t="shared" si="15"/>
        <v>5040161.600607175</v>
      </c>
      <c r="E117" s="43">
        <f t="shared" si="16"/>
        <v>32109812.515217856</v>
      </c>
      <c r="F117" s="48">
        <f>+PV(12%,3,0,C117,0)</f>
        <v>-13345879.646501454</v>
      </c>
      <c r="G117" s="43">
        <f t="shared" si="17"/>
        <v>37500000</v>
      </c>
      <c r="H117" s="17"/>
    </row>
    <row r="118" spans="2:8" ht="14.25">
      <c r="B118" s="15" t="s">
        <v>98</v>
      </c>
      <c r="C118" s="43">
        <f t="shared" si="14"/>
        <v>18750000</v>
      </c>
      <c r="D118" s="43">
        <f t="shared" si="15"/>
        <v>3532079.3766739643</v>
      </c>
      <c r="E118" s="43">
        <f t="shared" si="16"/>
        <v>16891891.891891822</v>
      </c>
      <c r="F118" s="48">
        <f>+PV(12%,2,0,C118,0)</f>
        <v>-14947385.20408163</v>
      </c>
      <c r="G118" s="43">
        <f t="shared" si="17"/>
        <v>18750000</v>
      </c>
      <c r="H118" s="17"/>
    </row>
    <row r="119" spans="2:8" ht="14.25">
      <c r="B119" s="15" t="s">
        <v>225</v>
      </c>
      <c r="C119" s="43">
        <f t="shared" si="14"/>
        <v>18750000</v>
      </c>
      <c r="D119" s="43">
        <f t="shared" si="15"/>
        <v>1858108.1081081005</v>
      </c>
      <c r="E119" s="166">
        <f t="shared" si="16"/>
        <v>-7.82310962677002E-08</v>
      </c>
      <c r="F119" s="48">
        <f>+PV(12%,1,0,C119,0)</f>
        <v>-16741071.428571427</v>
      </c>
      <c r="G119" s="43">
        <f t="shared" si="17"/>
        <v>0</v>
      </c>
      <c r="H119" s="17"/>
    </row>
    <row r="120" spans="2:8" ht="15">
      <c r="B120" s="16" t="s">
        <v>336</v>
      </c>
      <c r="C120" s="48">
        <f>+NPV(C121,C112:C119)</f>
        <v>96489801.76738274</v>
      </c>
      <c r="D120" s="17"/>
      <c r="E120" s="17"/>
      <c r="F120" s="131">
        <f>SUM(F112:F119)</f>
        <v>-93143245.62822352</v>
      </c>
      <c r="G120" s="17"/>
      <c r="H120" s="17"/>
    </row>
    <row r="121" spans="1:8" ht="14.25">
      <c r="A121" s="16" t="s">
        <v>69</v>
      </c>
      <c r="B121" s="66" t="s">
        <v>2</v>
      </c>
      <c r="C121" s="165">
        <v>0.11</v>
      </c>
      <c r="D121" s="17"/>
      <c r="E121" s="17"/>
      <c r="F121" s="17"/>
      <c r="G121" s="17"/>
      <c r="H121" s="17"/>
    </row>
    <row r="122" spans="1:8" ht="14.25">
      <c r="A122" s="16" t="s">
        <v>3</v>
      </c>
      <c r="B122" s="49"/>
      <c r="C122" s="127">
        <f>+G105</f>
        <v>150000000</v>
      </c>
      <c r="D122" s="17"/>
      <c r="E122" s="117" t="s">
        <v>272</v>
      </c>
      <c r="F122" s="118">
        <f>+C122-C120</f>
        <v>53510198.23261726</v>
      </c>
      <c r="G122" s="17"/>
      <c r="H122" s="17"/>
    </row>
    <row r="123" spans="3:8" ht="14.25">
      <c r="C123" s="64"/>
      <c r="D123" s="48"/>
      <c r="E123" s="118" t="s">
        <v>288</v>
      </c>
      <c r="F123" s="118">
        <f>SUM(D112:D117)</f>
        <v>48120010.747835115</v>
      </c>
      <c r="G123" s="17"/>
      <c r="H123" s="17"/>
    </row>
    <row r="124" spans="1:8" ht="14.25">
      <c r="A124" s="16" t="s">
        <v>220</v>
      </c>
      <c r="C124" s="17"/>
      <c r="D124" s="17"/>
      <c r="E124" s="118" t="s">
        <v>289</v>
      </c>
      <c r="F124" s="118">
        <f>+F123-F122</f>
        <v>-5390187.484782144</v>
      </c>
      <c r="G124" s="17"/>
      <c r="H124" s="17"/>
    </row>
    <row r="125" spans="1:8" ht="14.25">
      <c r="A125" s="16" t="s">
        <v>405</v>
      </c>
      <c r="C125" s="17"/>
      <c r="D125" s="17"/>
      <c r="E125" s="17"/>
      <c r="F125" s="17"/>
      <c r="G125" s="17"/>
      <c r="H125" s="17"/>
    </row>
    <row r="126" ht="14.25">
      <c r="C126" s="61"/>
    </row>
    <row r="128" ht="15">
      <c r="B128" s="25" t="s">
        <v>530</v>
      </c>
    </row>
    <row r="129" spans="2:4" ht="14.25">
      <c r="B129" s="16" t="s">
        <v>556</v>
      </c>
      <c r="D129" s="34">
        <f>+D118</f>
        <v>3532079.3766739643</v>
      </c>
    </row>
    <row r="130" spans="2:5" ht="14.25">
      <c r="B130" s="16" t="s">
        <v>531</v>
      </c>
      <c r="E130" s="34">
        <f>+D129</f>
        <v>3532079.3766739643</v>
      </c>
    </row>
    <row r="131" ht="14.25">
      <c r="C131" s="34"/>
    </row>
    <row r="132" ht="15">
      <c r="B132" s="25" t="s">
        <v>557</v>
      </c>
    </row>
    <row r="133" spans="2:4" ht="14.25">
      <c r="B133" s="16" t="s">
        <v>556</v>
      </c>
      <c r="D133" s="34">
        <f>+D119</f>
        <v>1858108.1081081005</v>
      </c>
    </row>
    <row r="134" spans="2:5" ht="14.25">
      <c r="B134" s="16" t="s">
        <v>531</v>
      </c>
      <c r="E134" s="34">
        <f>+D133</f>
        <v>1858108.1081081005</v>
      </c>
    </row>
  </sheetData>
  <sheetProtection/>
  <mergeCells count="1">
    <mergeCell ref="E5:F5"/>
  </mergeCells>
  <printOptions/>
  <pageMargins left="0.3937007874015748" right="0.3937007874015748" top="0.3937007874015748" bottom="0.3937007874015748" header="0" footer="0"/>
  <pageSetup horizontalDpi="120" verticalDpi="120" orientation="landscape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1"/>
  <sheetViews>
    <sheetView showGridLines="0" zoomScalePageLayoutView="0" workbookViewId="0" topLeftCell="A1">
      <pane ySplit="1" topLeftCell="A48" activePane="bottomLeft" state="frozen"/>
      <selection pane="topLeft" activeCell="D13" sqref="D13"/>
      <selection pane="bottomLeft" activeCell="D13" sqref="D13"/>
    </sheetView>
  </sheetViews>
  <sheetFormatPr defaultColWidth="11.421875" defaultRowHeight="12.75"/>
  <cols>
    <col min="1" max="1" width="11.421875" style="16" customWidth="1"/>
    <col min="2" max="2" width="22.00390625" style="16" customWidth="1"/>
    <col min="3" max="3" width="21.7109375" style="16" bestFit="1" customWidth="1"/>
    <col min="4" max="4" width="18.57421875" style="16" customWidth="1"/>
    <col min="5" max="5" width="19.140625" style="16" customWidth="1"/>
    <col min="6" max="6" width="17.7109375" style="16" customWidth="1"/>
    <col min="7" max="10" width="16.421875" style="16" customWidth="1"/>
    <col min="11" max="11" width="16.421875" style="17" customWidth="1"/>
    <col min="12" max="16384" width="11.421875" style="16" customWidth="1"/>
  </cols>
  <sheetData>
    <row r="1" spans="1:11" s="82" customFormat="1" ht="55.5" customHeight="1">
      <c r="A1" s="84" t="s">
        <v>173</v>
      </c>
      <c r="B1" s="83"/>
      <c r="C1" s="84" t="s">
        <v>174</v>
      </c>
      <c r="K1" s="120"/>
    </row>
    <row r="2" ht="14.25"/>
    <row r="3" spans="1:5" ht="15">
      <c r="A3" s="25" t="s">
        <v>181</v>
      </c>
      <c r="E3" s="32"/>
    </row>
    <row r="4" ht="15">
      <c r="B4" s="25" t="s">
        <v>0</v>
      </c>
    </row>
    <row r="5" spans="1:9" ht="15">
      <c r="A5" s="72" t="s">
        <v>146</v>
      </c>
      <c r="B5" s="86" t="s">
        <v>1</v>
      </c>
      <c r="C5" s="86" t="s">
        <v>227</v>
      </c>
      <c r="D5" s="86" t="s">
        <v>29</v>
      </c>
      <c r="E5" s="86" t="s">
        <v>145</v>
      </c>
      <c r="F5" s="72" t="s">
        <v>47</v>
      </c>
      <c r="I5" s="32"/>
    </row>
    <row r="6" spans="1:9" ht="14.25">
      <c r="A6" s="7">
        <v>1405</v>
      </c>
      <c r="B6" s="7" t="s">
        <v>103</v>
      </c>
      <c r="C6" s="6">
        <f>+C17</f>
        <v>78289828</v>
      </c>
      <c r="D6" s="6">
        <v>0</v>
      </c>
      <c r="E6" s="6">
        <f>+C6+D6</f>
        <v>78289828</v>
      </c>
      <c r="F6" s="39">
        <f>+C6</f>
        <v>78289828</v>
      </c>
      <c r="I6" s="32"/>
    </row>
    <row r="7" spans="1:9" ht="14.25">
      <c r="A7" s="7">
        <v>143005</v>
      </c>
      <c r="B7" s="7" t="s">
        <v>104</v>
      </c>
      <c r="C7" s="6">
        <f>+C27</f>
        <v>1050248000</v>
      </c>
      <c r="D7" s="6"/>
      <c r="E7" s="6">
        <f>+C7+D7</f>
        <v>1050248000</v>
      </c>
      <c r="F7" s="39">
        <f>+C7</f>
        <v>1050248000</v>
      </c>
      <c r="I7" s="32"/>
    </row>
    <row r="8" spans="1:7" ht="14.25">
      <c r="A8" s="7">
        <v>1445</v>
      </c>
      <c r="B8" s="7" t="s">
        <v>122</v>
      </c>
      <c r="C8" s="6">
        <f>+C67</f>
        <v>179700000</v>
      </c>
      <c r="D8" s="6">
        <f>+E8-C8</f>
        <v>157800000</v>
      </c>
      <c r="E8" s="6">
        <f>+D68</f>
        <v>337500000</v>
      </c>
      <c r="F8" s="15"/>
      <c r="G8" s="16" t="s">
        <v>125</v>
      </c>
    </row>
    <row r="9" spans="1:6" ht="14.25">
      <c r="A9" s="7">
        <v>1499</v>
      </c>
      <c r="B9" s="7" t="s">
        <v>31</v>
      </c>
      <c r="C9" s="6">
        <v>0</v>
      </c>
      <c r="D9" s="6">
        <f>+E9-C9</f>
        <v>-25000000</v>
      </c>
      <c r="E9" s="6">
        <f>+D27</f>
        <v>-25000000</v>
      </c>
      <c r="F9" s="39">
        <f>+C9</f>
        <v>0</v>
      </c>
    </row>
    <row r="10" spans="1:6" ht="15">
      <c r="A10" s="71"/>
      <c r="B10" s="72" t="s">
        <v>10</v>
      </c>
      <c r="C10" s="79">
        <f>SUM(C6:C9)</f>
        <v>1308237828</v>
      </c>
      <c r="D10" s="79">
        <f>SUM(D6:D9)</f>
        <v>132800000</v>
      </c>
      <c r="E10" s="79">
        <f>SUM(E6:E9)</f>
        <v>1441037828</v>
      </c>
      <c r="F10" s="79">
        <f>SUM(F6:F9)</f>
        <v>1128537828</v>
      </c>
    </row>
    <row r="12" ht="15">
      <c r="E12" s="160">
        <f>+'Bal prueba 010115'!F15+'Bal prueba 010115'!F22</f>
        <v>1466037828</v>
      </c>
    </row>
    <row r="14" ht="15">
      <c r="K14" s="46"/>
    </row>
    <row r="15" spans="2:5" ht="15">
      <c r="B15" s="75" t="s">
        <v>182</v>
      </c>
      <c r="C15" s="74"/>
      <c r="D15" s="74"/>
      <c r="E15" s="74"/>
    </row>
    <row r="16" spans="2:6" ht="15">
      <c r="B16" s="86" t="s">
        <v>30</v>
      </c>
      <c r="C16" s="86" t="s">
        <v>62</v>
      </c>
      <c r="D16" s="86" t="s">
        <v>518</v>
      </c>
      <c r="E16" s="86" t="s">
        <v>521</v>
      </c>
      <c r="F16" s="86" t="s">
        <v>522</v>
      </c>
    </row>
    <row r="17" spans="2:7" ht="15">
      <c r="B17" s="72" t="str">
        <f>+B6</f>
        <v>Materia prima</v>
      </c>
      <c r="C17" s="79">
        <f>SUM(C18:C20)</f>
        <v>78289828</v>
      </c>
      <c r="D17" s="79">
        <f>SUM(D18:D20)</f>
        <v>78289828</v>
      </c>
      <c r="E17" s="79">
        <f>SUM(E18:E20)</f>
        <v>94782000</v>
      </c>
      <c r="F17" s="79">
        <f>SUM(F18:F20)</f>
        <v>90285471</v>
      </c>
      <c r="G17" s="35"/>
    </row>
    <row r="18" spans="2:7" ht="14.25">
      <c r="B18" s="7" t="s">
        <v>142</v>
      </c>
      <c r="C18" s="6">
        <v>36000000</v>
      </c>
      <c r="D18" s="6">
        <f>+C18</f>
        <v>36000000</v>
      </c>
      <c r="E18" s="6">
        <v>46000000</v>
      </c>
      <c r="F18" s="6">
        <v>36524000</v>
      </c>
      <c r="G18" s="35"/>
    </row>
    <row r="19" spans="2:7" ht="14.25">
      <c r="B19" s="7" t="s">
        <v>143</v>
      </c>
      <c r="C19" s="6">
        <v>18000828</v>
      </c>
      <c r="D19" s="6">
        <f>+C19</f>
        <v>18000828</v>
      </c>
      <c r="E19" s="6">
        <v>36256000</v>
      </c>
      <c r="F19" s="6">
        <v>45869321</v>
      </c>
      <c r="G19" s="34"/>
    </row>
    <row r="20" spans="2:7" ht="14.25">
      <c r="B20" s="7" t="s">
        <v>144</v>
      </c>
      <c r="C20" s="6">
        <v>24289000</v>
      </c>
      <c r="D20" s="6">
        <f>+C20</f>
        <v>24289000</v>
      </c>
      <c r="E20" s="6">
        <v>12526000</v>
      </c>
      <c r="F20" s="6">
        <v>7892150</v>
      </c>
      <c r="G20" s="35"/>
    </row>
    <row r="21" ht="14.25">
      <c r="C21" s="36"/>
    </row>
    <row r="22" ht="14.25">
      <c r="C22" s="36"/>
    </row>
    <row r="23" spans="3:11" ht="14.25">
      <c r="C23" s="36"/>
      <c r="K23" s="16"/>
    </row>
    <row r="24" spans="2:11" ht="15">
      <c r="B24" s="75" t="s">
        <v>183</v>
      </c>
      <c r="C24" s="36"/>
      <c r="K24" s="16"/>
    </row>
    <row r="25" spans="3:11" ht="15">
      <c r="C25" s="339" t="s">
        <v>555</v>
      </c>
      <c r="D25" s="340"/>
      <c r="E25" s="341" t="s">
        <v>574</v>
      </c>
      <c r="F25" s="341"/>
      <c r="G25" s="339" t="s">
        <v>575</v>
      </c>
      <c r="H25" s="340"/>
      <c r="K25" s="16"/>
    </row>
    <row r="26" spans="2:11" ht="30">
      <c r="B26" s="86" t="s">
        <v>30</v>
      </c>
      <c r="C26" s="86" t="s">
        <v>518</v>
      </c>
      <c r="D26" s="86" t="s">
        <v>8</v>
      </c>
      <c r="E26" s="86" t="s">
        <v>521</v>
      </c>
      <c r="F26" s="86" t="s">
        <v>8</v>
      </c>
      <c r="G26" s="86" t="s">
        <v>522</v>
      </c>
      <c r="H26" s="86" t="s">
        <v>8</v>
      </c>
      <c r="K26" s="16"/>
    </row>
    <row r="27" spans="2:11" ht="30">
      <c r="B27" s="87" t="str">
        <f>+B7</f>
        <v>Productos terminados</v>
      </c>
      <c r="C27" s="79">
        <f aca="true" t="shared" si="0" ref="C27:H27">SUM(C28:C33)</f>
        <v>1050248000</v>
      </c>
      <c r="D27" s="79">
        <f t="shared" si="0"/>
        <v>-25000000</v>
      </c>
      <c r="E27" s="79">
        <f t="shared" si="0"/>
        <v>1136532890</v>
      </c>
      <c r="F27" s="79">
        <f t="shared" si="0"/>
        <v>-23500000</v>
      </c>
      <c r="G27" s="79">
        <f t="shared" si="0"/>
        <v>1023871000</v>
      </c>
      <c r="H27" s="79">
        <f t="shared" si="0"/>
        <v>-35000000</v>
      </c>
      <c r="K27" s="16"/>
    </row>
    <row r="28" spans="2:11" ht="14.25">
      <c r="B28" s="7" t="s">
        <v>105</v>
      </c>
      <c r="C28" s="6">
        <v>325000000</v>
      </c>
      <c r="D28" s="6">
        <v>-25000000</v>
      </c>
      <c r="E28" s="6">
        <v>125457890</v>
      </c>
      <c r="F28" s="6">
        <v>-11000000</v>
      </c>
      <c r="G28" s="6">
        <v>456236000</v>
      </c>
      <c r="H28" s="6">
        <v>-35000000</v>
      </c>
      <c r="K28" s="16"/>
    </row>
    <row r="29" spans="2:11" ht="14.25">
      <c r="B29" s="7" t="s">
        <v>106</v>
      </c>
      <c r="C29" s="6">
        <v>55623000</v>
      </c>
      <c r="D29" s="6"/>
      <c r="E29" s="6">
        <v>26325000</v>
      </c>
      <c r="F29" s="6">
        <v>0</v>
      </c>
      <c r="G29" s="6">
        <v>145256000</v>
      </c>
      <c r="H29" s="6">
        <v>0</v>
      </c>
      <c r="K29" s="16"/>
    </row>
    <row r="30" spans="2:11" ht="14.25">
      <c r="B30" s="7" t="s">
        <v>107</v>
      </c>
      <c r="C30" s="6">
        <v>185625000</v>
      </c>
      <c r="D30" s="6"/>
      <c r="E30" s="6">
        <v>458290000</v>
      </c>
      <c r="F30" s="6">
        <v>0</v>
      </c>
      <c r="G30" s="6">
        <v>147589000</v>
      </c>
      <c r="H30" s="6">
        <v>0</v>
      </c>
      <c r="K30" s="16"/>
    </row>
    <row r="31" spans="2:11" ht="14.25">
      <c r="B31" s="7" t="s">
        <v>108</v>
      </c>
      <c r="C31" s="6">
        <v>33000000</v>
      </c>
      <c r="D31" s="6"/>
      <c r="E31" s="6">
        <v>145260000</v>
      </c>
      <c r="F31" s="6">
        <v>-12500000</v>
      </c>
      <c r="G31" s="6">
        <v>25230000</v>
      </c>
      <c r="H31" s="6">
        <v>0</v>
      </c>
      <c r="K31" s="16"/>
    </row>
    <row r="32" spans="2:11" ht="14.25">
      <c r="B32" s="7" t="s">
        <v>109</v>
      </c>
      <c r="C32" s="6">
        <v>51000000</v>
      </c>
      <c r="D32" s="6"/>
      <c r="E32" s="6">
        <v>235600000</v>
      </c>
      <c r="F32" s="6">
        <v>0</v>
      </c>
      <c r="G32" s="6">
        <v>14560000</v>
      </c>
      <c r="H32" s="6">
        <v>0</v>
      </c>
      <c r="K32" s="16"/>
    </row>
    <row r="33" spans="2:11" ht="14.25">
      <c r="B33" s="7" t="s">
        <v>110</v>
      </c>
      <c r="C33" s="6">
        <v>400000000</v>
      </c>
      <c r="D33" s="6"/>
      <c r="E33" s="6">
        <v>145600000</v>
      </c>
      <c r="F33" s="6">
        <v>0</v>
      </c>
      <c r="G33" s="6">
        <v>235000000</v>
      </c>
      <c r="H33" s="6">
        <v>0</v>
      </c>
      <c r="K33" s="16"/>
    </row>
    <row r="34" ht="14.25">
      <c r="K34" s="16"/>
    </row>
    <row r="35" ht="14.25">
      <c r="K35" s="16"/>
    </row>
    <row r="36" spans="2:11" ht="15">
      <c r="B36" s="25" t="s">
        <v>576</v>
      </c>
      <c r="D36" s="25" t="s">
        <v>576</v>
      </c>
      <c r="E36" s="32"/>
      <c r="F36" s="25" t="s">
        <v>581</v>
      </c>
      <c r="K36" s="16"/>
    </row>
    <row r="37" spans="2:11" ht="14.25">
      <c r="B37" s="16" t="s">
        <v>238</v>
      </c>
      <c r="D37" s="32">
        <f>+B58+E17-C17</f>
        <v>3616492172</v>
      </c>
      <c r="E37" s="32"/>
      <c r="F37" s="32">
        <f>+D58+F17-E17</f>
        <v>3845503471</v>
      </c>
      <c r="G37" s="32"/>
      <c r="K37" s="16"/>
    </row>
    <row r="38" spans="2:11" ht="14.25">
      <c r="B38" s="16" t="s">
        <v>438</v>
      </c>
      <c r="D38" s="32"/>
      <c r="E38" s="32">
        <f>+D37</f>
        <v>3616492172</v>
      </c>
      <c r="F38" s="32"/>
      <c r="G38" s="32">
        <f>+F37</f>
        <v>3845503471</v>
      </c>
      <c r="K38" s="16"/>
    </row>
    <row r="39" spans="4:11" ht="14.25">
      <c r="D39" s="32"/>
      <c r="E39" s="32"/>
      <c r="F39" s="32"/>
      <c r="G39" s="32"/>
      <c r="K39" s="16"/>
    </row>
    <row r="40" spans="2:11" ht="14.25">
      <c r="B40" s="16" t="s">
        <v>583</v>
      </c>
      <c r="D40" s="32">
        <f>+B59</f>
        <v>2500000000</v>
      </c>
      <c r="E40" s="32"/>
      <c r="F40" s="32">
        <f>+D59</f>
        <v>2700000000</v>
      </c>
      <c r="G40" s="32"/>
      <c r="K40" s="16"/>
    </row>
    <row r="41" spans="2:11" ht="14.25">
      <c r="B41" s="16" t="s">
        <v>579</v>
      </c>
      <c r="D41" s="32">
        <f>+B60</f>
        <v>6070799998</v>
      </c>
      <c r="E41" s="32"/>
      <c r="F41" s="32">
        <f>+D60</f>
        <v>5066199998</v>
      </c>
      <c r="G41" s="32"/>
      <c r="K41" s="16"/>
    </row>
    <row r="42" spans="2:11" ht="14.25">
      <c r="B42" s="16" t="s">
        <v>584</v>
      </c>
      <c r="D42" s="32">
        <f>+E27-C27</f>
        <v>86284890</v>
      </c>
      <c r="E42" s="32"/>
      <c r="F42" s="32">
        <f>+G27-E27</f>
        <v>-112661890</v>
      </c>
      <c r="G42" s="32"/>
      <c r="K42" s="16"/>
    </row>
    <row r="43" spans="2:11" ht="14.25">
      <c r="B43" s="16" t="s">
        <v>438</v>
      </c>
      <c r="D43" s="32"/>
      <c r="E43" s="32">
        <f>+D40+D41+D42</f>
        <v>8657084888</v>
      </c>
      <c r="F43" s="32"/>
      <c r="G43" s="32">
        <f>+F40+F41+F42</f>
        <v>7653538108</v>
      </c>
      <c r="K43" s="16"/>
    </row>
    <row r="44" spans="4:11" ht="14.25">
      <c r="D44" s="32"/>
      <c r="E44" s="32"/>
      <c r="F44" s="32"/>
      <c r="G44" s="32"/>
      <c r="K44" s="16"/>
    </row>
    <row r="45" spans="2:11" ht="14.25">
      <c r="B45" s="16" t="s">
        <v>592</v>
      </c>
      <c r="D45" s="32"/>
      <c r="E45" s="32">
        <f>+D46</f>
        <v>1500000</v>
      </c>
      <c r="F45" s="32"/>
      <c r="G45" s="32">
        <f>+F46</f>
        <v>-11500000</v>
      </c>
      <c r="K45" s="16"/>
    </row>
    <row r="46" spans="2:11" ht="14.25">
      <c r="B46" s="16" t="s">
        <v>419</v>
      </c>
      <c r="D46" s="32">
        <f>+F27-D27</f>
        <v>1500000</v>
      </c>
      <c r="E46" s="32"/>
      <c r="F46" s="32">
        <f>+H27-F27</f>
        <v>-11500000</v>
      </c>
      <c r="G46" s="32"/>
      <c r="K46" s="16"/>
    </row>
    <row r="47" spans="4:11" ht="14.25">
      <c r="D47" s="32"/>
      <c r="E47" s="32"/>
      <c r="K47" s="16"/>
    </row>
    <row r="48" spans="4:11" ht="14.25">
      <c r="D48" s="32"/>
      <c r="E48" s="32"/>
      <c r="K48" s="16"/>
    </row>
    <row r="49" spans="4:11" ht="14.25">
      <c r="D49" s="32"/>
      <c r="E49" s="32"/>
      <c r="K49" s="16"/>
    </row>
    <row r="50" spans="4:11" ht="14.25">
      <c r="D50" s="32"/>
      <c r="E50" s="32"/>
      <c r="K50" s="16"/>
    </row>
    <row r="51" spans="4:11" ht="14.25">
      <c r="D51" s="32"/>
      <c r="E51" s="32"/>
      <c r="K51" s="16"/>
    </row>
    <row r="52" spans="2:11" ht="15">
      <c r="B52" s="25" t="s">
        <v>581</v>
      </c>
      <c r="K52" s="16"/>
    </row>
    <row r="53" ht="14.25">
      <c r="K53" s="16"/>
    </row>
    <row r="54" ht="14.25">
      <c r="K54" s="16"/>
    </row>
    <row r="55" ht="14.25">
      <c r="K55" s="16"/>
    </row>
    <row r="56" ht="14.25">
      <c r="K56" s="16"/>
    </row>
    <row r="57" spans="2:11" ht="15">
      <c r="B57" s="25" t="s">
        <v>582</v>
      </c>
      <c r="K57" s="16"/>
    </row>
    <row r="58" spans="2:11" ht="14.25">
      <c r="B58" s="32">
        <v>3600000000</v>
      </c>
      <c r="C58" s="16" t="s">
        <v>577</v>
      </c>
      <c r="D58" s="32">
        <v>3850000000</v>
      </c>
      <c r="K58" s="16"/>
    </row>
    <row r="59" spans="2:11" ht="14.25">
      <c r="B59" s="32">
        <v>2500000000</v>
      </c>
      <c r="C59" s="16" t="s">
        <v>578</v>
      </c>
      <c r="D59" s="32">
        <v>2700000000</v>
      </c>
      <c r="K59" s="16"/>
    </row>
    <row r="60" spans="2:4" ht="14.25">
      <c r="B60" s="32">
        <f>+'Bal prueba 311215'!C65-B58-B59</f>
        <v>6070799998</v>
      </c>
      <c r="C60" s="16" t="s">
        <v>579</v>
      </c>
      <c r="D60" s="32">
        <f>+'Bal prueba 311216'!E64-D58-D59</f>
        <v>5066199998</v>
      </c>
    </row>
    <row r="61" spans="2:4" ht="14.25">
      <c r="B61" s="32">
        <f>SUM(B58:B60)</f>
        <v>12170799998</v>
      </c>
      <c r="C61" s="16" t="s">
        <v>580</v>
      </c>
      <c r="D61" s="32">
        <f>SUM(D58:D60)</f>
        <v>11616199998</v>
      </c>
    </row>
    <row r="65" spans="2:4" ht="15">
      <c r="B65" s="75" t="s">
        <v>590</v>
      </c>
      <c r="C65" s="74"/>
      <c r="D65" s="74"/>
    </row>
    <row r="66" spans="2:7" ht="45" customHeight="1">
      <c r="B66" s="86" t="s">
        <v>30</v>
      </c>
      <c r="C66" s="86" t="s">
        <v>62</v>
      </c>
      <c r="D66" s="86" t="s">
        <v>184</v>
      </c>
      <c r="E66" s="86" t="s">
        <v>518</v>
      </c>
      <c r="F66" s="86" t="s">
        <v>521</v>
      </c>
      <c r="G66" s="86" t="s">
        <v>522</v>
      </c>
    </row>
    <row r="67" spans="2:7" ht="15">
      <c r="B67" s="87" t="s">
        <v>122</v>
      </c>
      <c r="C67" s="79">
        <f>SUM(C68:C68)</f>
        <v>179700000</v>
      </c>
      <c r="D67" s="79">
        <f>SUM(D68:D68)</f>
        <v>337500000</v>
      </c>
      <c r="E67" s="79">
        <f>SUM(E68:E68)</f>
        <v>337500000</v>
      </c>
      <c r="F67" s="79">
        <f>SUM(F68:F68)</f>
        <v>450000000</v>
      </c>
      <c r="G67" s="79">
        <f>SUM(G68:G68)</f>
        <v>550000000</v>
      </c>
    </row>
    <row r="68" spans="2:7" ht="14.25">
      <c r="B68" s="7" t="s">
        <v>121</v>
      </c>
      <c r="C68" s="6">
        <v>179700000</v>
      </c>
      <c r="D68" s="6">
        <f>1500*225000</f>
        <v>337500000</v>
      </c>
      <c r="E68" s="6">
        <f>+D68</f>
        <v>337500000</v>
      </c>
      <c r="F68" s="6">
        <v>450000000</v>
      </c>
      <c r="G68" s="6">
        <v>550000000</v>
      </c>
    </row>
    <row r="70" spans="2:3" ht="14.25">
      <c r="B70" s="16" t="s">
        <v>420</v>
      </c>
      <c r="C70" s="32">
        <v>350000000</v>
      </c>
    </row>
    <row r="71" spans="2:4" ht="14.25">
      <c r="B71" s="16" t="s">
        <v>593</v>
      </c>
      <c r="C71" s="32">
        <v>12500000</v>
      </c>
      <c r="D71" s="17" t="s">
        <v>423</v>
      </c>
    </row>
    <row r="72" spans="2:4" ht="14.25">
      <c r="B72" s="16" t="s">
        <v>421</v>
      </c>
      <c r="C72" s="32"/>
      <c r="D72" s="17"/>
    </row>
    <row r="73" spans="2:4" ht="14.25">
      <c r="B73" s="16" t="s">
        <v>422</v>
      </c>
      <c r="C73" s="32">
        <f>+C70-C71</f>
        <v>337500000</v>
      </c>
      <c r="D73" s="17"/>
    </row>
    <row r="74" spans="3:4" ht="14.25">
      <c r="C74" s="32"/>
      <c r="D74" s="17"/>
    </row>
    <row r="75" ht="14.25">
      <c r="D75" s="17"/>
    </row>
    <row r="76" ht="14.25">
      <c r="D76" s="17"/>
    </row>
    <row r="77" spans="2:6" ht="15">
      <c r="B77" s="25" t="s">
        <v>576</v>
      </c>
      <c r="D77" s="32"/>
      <c r="E77" s="32"/>
      <c r="F77" s="32"/>
    </row>
    <row r="78" spans="2:6" ht="14.25">
      <c r="B78" s="16" t="s">
        <v>499</v>
      </c>
      <c r="D78" s="32"/>
      <c r="E78" s="32">
        <v>650000000</v>
      </c>
      <c r="F78" s="32"/>
    </row>
    <row r="79" spans="2:6" ht="14.25">
      <c r="B79" s="16" t="s">
        <v>438</v>
      </c>
      <c r="D79" s="32">
        <f>+E78</f>
        <v>650000000</v>
      </c>
      <c r="E79" s="32"/>
      <c r="F79" s="32"/>
    </row>
    <row r="80" spans="4:6" ht="14.25">
      <c r="D80" s="32"/>
      <c r="E80" s="32"/>
      <c r="F80" s="32"/>
    </row>
    <row r="81" spans="2:6" ht="14.25">
      <c r="B81" s="16" t="s">
        <v>585</v>
      </c>
      <c r="D81" s="32">
        <v>320000000</v>
      </c>
      <c r="E81" s="32"/>
      <c r="F81" s="32"/>
    </row>
    <row r="82" spans="2:6" ht="14.25">
      <c r="B82" s="16" t="s">
        <v>125</v>
      </c>
      <c r="D82" s="32"/>
      <c r="E82" s="32">
        <v>320000000</v>
      </c>
      <c r="F82" s="32"/>
    </row>
    <row r="83" spans="4:6" ht="14.25">
      <c r="D83" s="32"/>
      <c r="E83" s="32"/>
      <c r="F83" s="32"/>
    </row>
    <row r="84" spans="2:6" ht="14.25">
      <c r="B84" s="16" t="s">
        <v>125</v>
      </c>
      <c r="D84" s="32">
        <f>+D81+F68-E68-D88</f>
        <v>398000000</v>
      </c>
      <c r="E84" s="32"/>
      <c r="F84" s="32"/>
    </row>
    <row r="85" spans="2:6" ht="14.25">
      <c r="B85" s="16" t="s">
        <v>588</v>
      </c>
      <c r="D85" s="32"/>
      <c r="E85" s="32">
        <f>+D84</f>
        <v>398000000</v>
      </c>
      <c r="F85" s="32"/>
    </row>
    <row r="86" spans="4:6" ht="14.25">
      <c r="D86" s="32"/>
      <c r="E86" s="32"/>
      <c r="F86" s="32"/>
    </row>
    <row r="87" spans="2:6" ht="14.25">
      <c r="B87" s="16" t="s">
        <v>587</v>
      </c>
      <c r="D87" s="32"/>
      <c r="E87" s="32">
        <v>34500000</v>
      </c>
      <c r="F87" s="32"/>
    </row>
    <row r="88" spans="2:6" ht="14.25">
      <c r="B88" s="16" t="s">
        <v>125</v>
      </c>
      <c r="D88" s="32">
        <f>+E87</f>
        <v>34500000</v>
      </c>
      <c r="E88" s="32"/>
      <c r="F88" s="32"/>
    </row>
    <row r="89" spans="4:6" ht="14.25">
      <c r="D89" s="32"/>
      <c r="E89" s="32"/>
      <c r="F89" s="32"/>
    </row>
    <row r="90" spans="4:6" ht="14.25">
      <c r="D90" s="32"/>
      <c r="E90" s="32"/>
      <c r="F90" s="32"/>
    </row>
    <row r="91" spans="4:6" ht="14.25">
      <c r="D91" s="32"/>
      <c r="E91" s="32"/>
      <c r="F91" s="32"/>
    </row>
  </sheetData>
  <sheetProtection/>
  <mergeCells count="3">
    <mergeCell ref="C25:D25"/>
    <mergeCell ref="E25:F25"/>
    <mergeCell ref="G25:H25"/>
  </mergeCells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0"/>
  <sheetViews>
    <sheetView showGridLines="0" zoomScalePageLayoutView="0" workbookViewId="0" topLeftCell="C1">
      <selection activeCell="D13" sqref="D13"/>
    </sheetView>
  </sheetViews>
  <sheetFormatPr defaultColWidth="11.421875" defaultRowHeight="12.75"/>
  <cols>
    <col min="1" max="1" width="5.7109375" style="2" customWidth="1"/>
    <col min="2" max="2" width="25.140625" style="2" customWidth="1"/>
    <col min="3" max="5" width="18.140625" style="2" customWidth="1"/>
    <col min="6" max="6" width="16.8515625" style="2" bestFit="1" customWidth="1"/>
    <col min="7" max="7" width="18.140625" style="2" customWidth="1"/>
    <col min="8" max="8" width="10.421875" style="2" customWidth="1"/>
    <col min="9" max="22" width="18.57421875" style="2" customWidth="1"/>
    <col min="23" max="16384" width="11.421875" style="2" customWidth="1"/>
  </cols>
  <sheetData>
    <row r="1" spans="1:3" s="82" customFormat="1" ht="55.5" customHeight="1">
      <c r="A1" s="84" t="s">
        <v>173</v>
      </c>
      <c r="B1" s="83"/>
      <c r="C1" s="84" t="s">
        <v>174</v>
      </c>
    </row>
    <row r="2" ht="14.25"/>
    <row r="4" ht="15">
      <c r="A4" s="1" t="s">
        <v>187</v>
      </c>
    </row>
    <row r="5" spans="1:14" ht="45">
      <c r="A5" s="72" t="s">
        <v>146</v>
      </c>
      <c r="B5" s="86" t="s">
        <v>1</v>
      </c>
      <c r="C5" s="86" t="s">
        <v>235</v>
      </c>
      <c r="D5" s="86" t="s">
        <v>188</v>
      </c>
      <c r="E5" s="86" t="s">
        <v>63</v>
      </c>
      <c r="F5" s="86" t="s">
        <v>189</v>
      </c>
      <c r="G5" s="86" t="s">
        <v>168</v>
      </c>
      <c r="H5" s="86" t="s">
        <v>247</v>
      </c>
      <c r="I5" s="86" t="s">
        <v>594</v>
      </c>
      <c r="J5" s="86" t="s">
        <v>596</v>
      </c>
      <c r="K5" s="86" t="s">
        <v>595</v>
      </c>
      <c r="L5" s="86" t="s">
        <v>597</v>
      </c>
      <c r="M5" s="86" t="s">
        <v>65</v>
      </c>
      <c r="N5" s="86" t="s">
        <v>246</v>
      </c>
    </row>
    <row r="6" spans="1:14" ht="28.5">
      <c r="A6" s="5"/>
      <c r="B6" s="20" t="s">
        <v>598</v>
      </c>
      <c r="C6" s="6">
        <v>650000000</v>
      </c>
      <c r="D6" s="6">
        <v>0</v>
      </c>
      <c r="E6" s="6">
        <v>750000000</v>
      </c>
      <c r="F6" s="6">
        <f aca="true" t="shared" si="0" ref="F6:F12">+C6-D6+E6</f>
        <v>1400000000</v>
      </c>
      <c r="G6" s="133">
        <v>1400000000</v>
      </c>
      <c r="H6" s="6" t="s">
        <v>14</v>
      </c>
      <c r="I6" s="6"/>
      <c r="J6" s="6"/>
      <c r="K6" s="6"/>
      <c r="L6" s="6"/>
      <c r="M6" s="6" t="s">
        <v>14</v>
      </c>
      <c r="N6" s="5"/>
    </row>
    <row r="7" spans="1:14" s="16" customFormat="1" ht="28.5">
      <c r="A7" s="7"/>
      <c r="B7" s="20" t="s">
        <v>599</v>
      </c>
      <c r="C7" s="6">
        <v>550000000</v>
      </c>
      <c r="D7" s="6"/>
      <c r="E7" s="6">
        <v>250000000</v>
      </c>
      <c r="F7" s="6">
        <f t="shared" si="0"/>
        <v>800000000</v>
      </c>
      <c r="G7" s="133">
        <v>800000000</v>
      </c>
      <c r="H7" s="6"/>
      <c r="I7" s="6"/>
      <c r="J7" s="6"/>
      <c r="K7" s="6"/>
      <c r="L7" s="6"/>
      <c r="M7" s="6"/>
      <c r="N7" s="7"/>
    </row>
    <row r="8" spans="1:14" ht="14.25">
      <c r="A8" s="5"/>
      <c r="B8" s="20" t="s">
        <v>600</v>
      </c>
      <c r="C8" s="6">
        <v>2445000000</v>
      </c>
      <c r="D8" s="6">
        <f>+C8/20*12</f>
        <v>1467000000</v>
      </c>
      <c r="E8" s="6">
        <v>2622000000</v>
      </c>
      <c r="F8" s="6">
        <f t="shared" si="0"/>
        <v>3600000000</v>
      </c>
      <c r="G8" s="133">
        <v>3627450980</v>
      </c>
      <c r="H8" s="6" t="s">
        <v>248</v>
      </c>
      <c r="I8" s="6">
        <f>+C8/20</f>
        <v>122250000</v>
      </c>
      <c r="J8" s="6">
        <f>+G8/50</f>
        <v>72549019.6</v>
      </c>
      <c r="K8" s="6">
        <f aca="true" t="shared" si="1" ref="K8:L10">+I8</f>
        <v>122250000</v>
      </c>
      <c r="L8" s="6">
        <f t="shared" si="1"/>
        <v>72549019.6</v>
      </c>
      <c r="M8" s="6"/>
      <c r="N8" s="5"/>
    </row>
    <row r="9" spans="1:14" ht="14.25">
      <c r="A9" s="5"/>
      <c r="B9" s="20" t="s">
        <v>601</v>
      </c>
      <c r="C9" s="6">
        <v>825265324</v>
      </c>
      <c r="D9" s="6">
        <f>+C9/10*5</f>
        <v>412632662</v>
      </c>
      <c r="E9" s="6">
        <v>0</v>
      </c>
      <c r="F9" s="6">
        <f t="shared" si="0"/>
        <v>412632662</v>
      </c>
      <c r="G9" s="133">
        <v>436363636</v>
      </c>
      <c r="H9" s="6" t="s">
        <v>249</v>
      </c>
      <c r="I9" s="6">
        <f>+C9/10</f>
        <v>82526532.4</v>
      </c>
      <c r="J9" s="6">
        <f>+G9/6</f>
        <v>72727272.66666667</v>
      </c>
      <c r="K9" s="6">
        <f t="shared" si="1"/>
        <v>82526532.4</v>
      </c>
      <c r="L9" s="6">
        <f t="shared" si="1"/>
        <v>72727272.66666667</v>
      </c>
      <c r="M9" s="6">
        <v>0</v>
      </c>
      <c r="N9" s="5" t="s">
        <v>252</v>
      </c>
    </row>
    <row r="10" spans="1:14" ht="14.25">
      <c r="A10" s="5"/>
      <c r="B10" s="20" t="s">
        <v>11</v>
      </c>
      <c r="C10" s="6">
        <v>435050949</v>
      </c>
      <c r="D10" s="6">
        <f>+C10/1.66666666666667</f>
        <v>261030569.39999998</v>
      </c>
      <c r="E10" s="6">
        <v>0</v>
      </c>
      <c r="F10" s="6">
        <f t="shared" si="0"/>
        <v>174020379.60000002</v>
      </c>
      <c r="G10" s="133">
        <v>195454545</v>
      </c>
      <c r="H10" s="6" t="s">
        <v>250</v>
      </c>
      <c r="I10" s="6">
        <f>+C10/10</f>
        <v>43505094.9</v>
      </c>
      <c r="J10" s="6">
        <f>+G10/5</f>
        <v>39090909</v>
      </c>
      <c r="K10" s="6">
        <f t="shared" si="1"/>
        <v>43505094.9</v>
      </c>
      <c r="L10" s="6">
        <f t="shared" si="1"/>
        <v>39090909</v>
      </c>
      <c r="M10" s="6">
        <v>0</v>
      </c>
      <c r="N10" s="5" t="s">
        <v>253</v>
      </c>
    </row>
    <row r="11" spans="1:14" ht="14.25">
      <c r="A11" s="5"/>
      <c r="B11" s="20" t="s">
        <v>12</v>
      </c>
      <c r="C11" s="6">
        <v>146066470</v>
      </c>
      <c r="D11" s="6">
        <f>+C11/5*4</f>
        <v>116853176</v>
      </c>
      <c r="E11" s="6">
        <v>0</v>
      </c>
      <c r="F11" s="6">
        <f t="shared" si="0"/>
        <v>29213294</v>
      </c>
      <c r="G11" s="133">
        <v>46666667</v>
      </c>
      <c r="H11" s="6" t="s">
        <v>251</v>
      </c>
      <c r="I11" s="6">
        <f>+C11/5</f>
        <v>29213294</v>
      </c>
      <c r="J11" s="6">
        <f>+G11/2</f>
        <v>23333333.5</v>
      </c>
      <c r="K11" s="6">
        <v>0</v>
      </c>
      <c r="L11" s="6">
        <f>+J11</f>
        <v>23333333.5</v>
      </c>
      <c r="M11" s="6">
        <v>0</v>
      </c>
      <c r="N11" s="5" t="s">
        <v>254</v>
      </c>
    </row>
    <row r="12" spans="1:14" ht="14.25">
      <c r="A12" s="5"/>
      <c r="B12" s="20" t="s">
        <v>602</v>
      </c>
      <c r="C12" s="6">
        <v>75000000</v>
      </c>
      <c r="D12" s="6">
        <f>+C12</f>
        <v>75000000</v>
      </c>
      <c r="E12" s="6">
        <v>0</v>
      </c>
      <c r="F12" s="6">
        <f t="shared" si="0"/>
        <v>0</v>
      </c>
      <c r="G12" s="133">
        <v>50000000</v>
      </c>
      <c r="H12" s="6" t="s">
        <v>249</v>
      </c>
      <c r="I12" s="6"/>
      <c r="J12" s="6">
        <f>+(G12-M12)/6</f>
        <v>4166666.6666666665</v>
      </c>
      <c r="K12" s="6">
        <v>0</v>
      </c>
      <c r="L12" s="6">
        <f>+J12</f>
        <v>4166666.6666666665</v>
      </c>
      <c r="M12" s="6">
        <v>25000000</v>
      </c>
      <c r="N12" s="5" t="s">
        <v>253</v>
      </c>
    </row>
    <row r="13" spans="1:14" ht="28.5">
      <c r="A13" s="7"/>
      <c r="B13" s="20" t="s">
        <v>603</v>
      </c>
      <c r="C13" s="6">
        <v>245000000</v>
      </c>
      <c r="D13" s="6">
        <f>+C13</f>
        <v>245000000</v>
      </c>
      <c r="E13" s="6">
        <v>0</v>
      </c>
      <c r="F13" s="6">
        <f>+C13-D13+E13</f>
        <v>0</v>
      </c>
      <c r="G13" s="133">
        <v>102142857</v>
      </c>
      <c r="H13" s="6" t="s">
        <v>249</v>
      </c>
      <c r="I13" s="6"/>
      <c r="J13" s="6">
        <f>+(G13-M13)/6</f>
        <v>9523809.5</v>
      </c>
      <c r="K13" s="6"/>
      <c r="L13" s="6">
        <f>+J13</f>
        <v>9523809.5</v>
      </c>
      <c r="M13" s="6">
        <v>45000000</v>
      </c>
      <c r="N13" s="7" t="s">
        <v>255</v>
      </c>
    </row>
    <row r="14" spans="1:14" ht="28.5">
      <c r="A14" s="5"/>
      <c r="B14" s="20" t="s">
        <v>132</v>
      </c>
      <c r="C14" s="56">
        <v>0</v>
      </c>
      <c r="D14" s="6"/>
      <c r="E14" s="6"/>
      <c r="F14" s="6">
        <f>+'Otros activos'!C28</f>
        <v>510000000</v>
      </c>
      <c r="G14" s="133">
        <f>+C38</f>
        <v>510000000</v>
      </c>
      <c r="H14" s="6"/>
      <c r="I14" s="6">
        <f>+G14/5</f>
        <v>102000000</v>
      </c>
      <c r="J14" s="6">
        <f>+I14</f>
        <v>102000000</v>
      </c>
      <c r="K14" s="6">
        <f>+I14</f>
        <v>102000000</v>
      </c>
      <c r="L14" s="6">
        <f>+K14</f>
        <v>102000000</v>
      </c>
      <c r="M14" s="6"/>
      <c r="N14" s="5"/>
    </row>
    <row r="15" spans="1:14" ht="28.5">
      <c r="A15" s="5"/>
      <c r="B15" s="20" t="s">
        <v>275</v>
      </c>
      <c r="C15" s="56">
        <v>0</v>
      </c>
      <c r="D15" s="6"/>
      <c r="E15" s="6"/>
      <c r="F15" s="6">
        <f>+Inversiones!C40</f>
        <v>650000000</v>
      </c>
      <c r="G15" s="133">
        <f>+C39</f>
        <v>510208333.3333334</v>
      </c>
      <c r="H15" s="6"/>
      <c r="I15" s="6">
        <v>0</v>
      </c>
      <c r="J15" s="6">
        <f>+(Inversiones!C52-Inversiones!C54)/10</f>
        <v>55000000</v>
      </c>
      <c r="K15" s="6">
        <v>0</v>
      </c>
      <c r="L15" s="6">
        <f>+J15</f>
        <v>55000000</v>
      </c>
      <c r="M15" s="6"/>
      <c r="N15" s="5"/>
    </row>
    <row r="16" spans="1:14" ht="14.25">
      <c r="A16" s="5"/>
      <c r="B16" s="20" t="s">
        <v>378</v>
      </c>
      <c r="C16" s="56">
        <v>0</v>
      </c>
      <c r="D16" s="6"/>
      <c r="E16" s="6"/>
      <c r="F16" s="6">
        <v>0</v>
      </c>
      <c r="G16" s="133">
        <f>+C40</f>
        <v>1037478933.108988</v>
      </c>
      <c r="H16" s="6"/>
      <c r="I16" s="6">
        <v>0</v>
      </c>
      <c r="J16" s="6">
        <f>+(Leasing!D68)/36+Leasing!C272/60</f>
        <v>28071176.06406174</v>
      </c>
      <c r="K16" s="6">
        <v>0</v>
      </c>
      <c r="L16" s="6">
        <f>+J16</f>
        <v>28071176.06406174</v>
      </c>
      <c r="M16" s="6"/>
      <c r="N16" s="5"/>
    </row>
    <row r="17" spans="2:14" ht="15">
      <c r="B17" s="87" t="s">
        <v>13</v>
      </c>
      <c r="C17" s="79">
        <f>SUM(C6:C16)</f>
        <v>5371382743</v>
      </c>
      <c r="D17" s="79">
        <f>SUM(D6:D16)</f>
        <v>2577516407.4</v>
      </c>
      <c r="E17" s="79">
        <f>SUM(E6:E16)</f>
        <v>3622000000</v>
      </c>
      <c r="F17" s="79">
        <f>SUM(F6:F16)</f>
        <v>7575866335.6</v>
      </c>
      <c r="G17" s="79">
        <f>SUM(G6:G16)</f>
        <v>8715765951.442322</v>
      </c>
      <c r="H17" s="93"/>
      <c r="I17" s="79">
        <f>SUM(I6:I16)</f>
        <v>379494921.3</v>
      </c>
      <c r="J17" s="79">
        <f>SUM(J6:J16)</f>
        <v>406462186.99739504</v>
      </c>
      <c r="K17" s="79">
        <f>SUM(K6:K16)</f>
        <v>350281627.3</v>
      </c>
      <c r="L17" s="79">
        <f>SUM(L6:L16)</f>
        <v>406462186.99739504</v>
      </c>
      <c r="M17" s="93"/>
      <c r="N17" s="7"/>
    </row>
    <row r="18" spans="2:13" ht="15">
      <c r="B18" s="137"/>
      <c r="C18" s="138"/>
      <c r="D18" s="138"/>
      <c r="E18" s="138"/>
      <c r="F18" s="138"/>
      <c r="G18" s="138"/>
      <c r="H18" s="189"/>
      <c r="M18" s="189"/>
    </row>
    <row r="19" spans="1:13" ht="15">
      <c r="A19" s="342" t="s">
        <v>87</v>
      </c>
      <c r="B19" s="342"/>
      <c r="C19" s="138"/>
      <c r="D19" s="138"/>
      <c r="E19" s="138"/>
      <c r="F19" s="138"/>
      <c r="G19" s="138"/>
      <c r="H19" s="189"/>
      <c r="M19" s="189"/>
    </row>
    <row r="20" spans="1:14" s="16" customFormat="1" ht="28.5">
      <c r="A20" s="7"/>
      <c r="B20" s="20" t="s">
        <v>231</v>
      </c>
      <c r="C20" s="6">
        <v>350000000</v>
      </c>
      <c r="D20" s="6"/>
      <c r="E20" s="6">
        <v>350000000</v>
      </c>
      <c r="F20" s="6">
        <f>+C20-D20+E20</f>
        <v>700000000</v>
      </c>
      <c r="G20" s="133">
        <v>700000000</v>
      </c>
      <c r="H20" s="6" t="s">
        <v>14</v>
      </c>
      <c r="I20" s="7"/>
      <c r="J20" s="7"/>
      <c r="K20" s="7"/>
      <c r="L20" s="7"/>
      <c r="M20" s="6" t="s">
        <v>14</v>
      </c>
      <c r="N20" s="7"/>
    </row>
    <row r="21" spans="2:13" ht="15">
      <c r="B21" s="137"/>
      <c r="C21" s="138"/>
      <c r="D21" s="138"/>
      <c r="E21" s="138"/>
      <c r="F21" s="138"/>
      <c r="G21" s="138"/>
      <c r="H21" s="189"/>
      <c r="M21" s="189"/>
    </row>
    <row r="22" spans="2:13" ht="15">
      <c r="B22" s="190" t="s">
        <v>604</v>
      </c>
      <c r="C22" s="138"/>
      <c r="D22" s="138"/>
      <c r="E22" s="138"/>
      <c r="F22" s="138"/>
      <c r="G22" s="138">
        <v>750000000</v>
      </c>
      <c r="H22" s="189"/>
      <c r="M22" s="189"/>
    </row>
    <row r="23" spans="2:13" ht="15">
      <c r="B23" s="190" t="s">
        <v>605</v>
      </c>
      <c r="C23" s="138"/>
      <c r="D23" s="138"/>
      <c r="E23" s="138"/>
      <c r="F23" s="138"/>
      <c r="G23" s="138">
        <v>820000000</v>
      </c>
      <c r="H23" s="189"/>
      <c r="M23" s="189"/>
    </row>
    <row r="24" spans="3:6" ht="14.25">
      <c r="C24" s="12"/>
      <c r="E24" s="9" t="s">
        <v>0</v>
      </c>
      <c r="F24" s="9"/>
    </row>
    <row r="25" spans="5:7" ht="14.25">
      <c r="E25" s="9" t="s">
        <v>0</v>
      </c>
      <c r="F25" s="9" t="s">
        <v>0</v>
      </c>
      <c r="G25" s="12"/>
    </row>
    <row r="28" spans="2:16" ht="15">
      <c r="B28" s="1" t="s">
        <v>606</v>
      </c>
      <c r="I28" s="1" t="s">
        <v>607</v>
      </c>
      <c r="P28" s="1" t="s">
        <v>608</v>
      </c>
    </row>
    <row r="29" spans="2:21" ht="60">
      <c r="B29" s="86" t="s">
        <v>1</v>
      </c>
      <c r="C29" s="86" t="s">
        <v>274</v>
      </c>
      <c r="D29" s="86" t="s">
        <v>47</v>
      </c>
      <c r="E29" s="86" t="s">
        <v>49</v>
      </c>
      <c r="F29" s="86" t="s">
        <v>191</v>
      </c>
      <c r="G29" s="86" t="s">
        <v>190</v>
      </c>
      <c r="I29" s="86" t="s">
        <v>1</v>
      </c>
      <c r="J29" s="86" t="s">
        <v>274</v>
      </c>
      <c r="K29" s="86" t="s">
        <v>47</v>
      </c>
      <c r="L29" s="86" t="s">
        <v>49</v>
      </c>
      <c r="M29" s="86" t="s">
        <v>191</v>
      </c>
      <c r="N29" s="86" t="s">
        <v>190</v>
      </c>
      <c r="P29" s="86" t="s">
        <v>1</v>
      </c>
      <c r="Q29" s="86" t="s">
        <v>274</v>
      </c>
      <c r="R29" s="86" t="s">
        <v>47</v>
      </c>
      <c r="S29" s="86" t="s">
        <v>49</v>
      </c>
      <c r="T29" s="86" t="s">
        <v>191</v>
      </c>
      <c r="U29" s="86" t="s">
        <v>190</v>
      </c>
    </row>
    <row r="30" spans="2:21" ht="42.75">
      <c r="B30" s="20" t="str">
        <f>+B6</f>
        <v>Terreno 1- Oficinas administrativas</v>
      </c>
      <c r="C30" s="56">
        <f>+G6</f>
        <v>1400000000</v>
      </c>
      <c r="D30" s="56">
        <f>+C6</f>
        <v>650000000</v>
      </c>
      <c r="E30" s="56">
        <f>+C30-D30</f>
        <v>750000000</v>
      </c>
      <c r="F30" s="56">
        <f>+E30</f>
        <v>750000000</v>
      </c>
      <c r="G30" s="56"/>
      <c r="I30" s="20" t="str">
        <f>+B30</f>
        <v>Terreno 1- Oficinas administrativas</v>
      </c>
      <c r="J30" s="56">
        <f>+G6-J6</f>
        <v>1400000000</v>
      </c>
      <c r="K30" s="56">
        <f>+C6</f>
        <v>650000000</v>
      </c>
      <c r="L30" s="56">
        <f>+J30-K30</f>
        <v>750000000</v>
      </c>
      <c r="M30" s="56">
        <f>+L30</f>
        <v>750000000</v>
      </c>
      <c r="N30" s="56"/>
      <c r="P30" s="20" t="str">
        <f>+I30</f>
        <v>Terreno 1- Oficinas administrativas</v>
      </c>
      <c r="Q30" s="56">
        <f>+U6</f>
        <v>0</v>
      </c>
      <c r="R30" s="56">
        <f>+Q6</f>
        <v>0</v>
      </c>
      <c r="S30" s="56">
        <f>+Q30-R30</f>
        <v>0</v>
      </c>
      <c r="T30" s="56">
        <f>+S30</f>
        <v>0</v>
      </c>
      <c r="U30" s="56"/>
    </row>
    <row r="31" spans="2:21" ht="28.5">
      <c r="B31" s="20" t="str">
        <f>+B8</f>
        <v>Oficina administrativa</v>
      </c>
      <c r="C31" s="56">
        <f>+G8</f>
        <v>3627450980</v>
      </c>
      <c r="D31" s="56">
        <f>+C8-D8</f>
        <v>978000000</v>
      </c>
      <c r="E31" s="56">
        <f aca="true" t="shared" si="2" ref="E31:E40">+C31-D31</f>
        <v>2649450980</v>
      </c>
      <c r="F31" s="56">
        <f>+E31-G31</f>
        <v>1182450980</v>
      </c>
      <c r="G31" s="56">
        <f>+D8</f>
        <v>1467000000</v>
      </c>
      <c r="I31" s="20" t="str">
        <f aca="true" t="shared" si="3" ref="I31:I40">+B31</f>
        <v>Oficina administrativa</v>
      </c>
      <c r="J31" s="56">
        <f>+G8-J8</f>
        <v>3554901960.4</v>
      </c>
      <c r="K31" s="56">
        <f>+C8-D8-I8</f>
        <v>855750000</v>
      </c>
      <c r="L31" s="56">
        <f aca="true" t="shared" si="4" ref="L31:L40">+J31-K31</f>
        <v>2699151960.4</v>
      </c>
      <c r="M31" s="56">
        <f>+L31-N31</f>
        <v>1109901960.4</v>
      </c>
      <c r="N31" s="56">
        <f>+D8+I8</f>
        <v>1589250000</v>
      </c>
      <c r="P31" s="20" t="str">
        <f aca="true" t="shared" si="5" ref="P31:P40">+I31</f>
        <v>Oficina administrativa</v>
      </c>
      <c r="Q31" s="56">
        <f>+U8</f>
        <v>0</v>
      </c>
      <c r="R31" s="56">
        <f>+Q8-R8</f>
        <v>0</v>
      </c>
      <c r="S31" s="56">
        <f aca="true" t="shared" si="6" ref="S31:S40">+Q31-R31</f>
        <v>0</v>
      </c>
      <c r="T31" s="56">
        <f>+S31-U31</f>
        <v>0</v>
      </c>
      <c r="U31" s="56">
        <f>+R8</f>
        <v>0</v>
      </c>
    </row>
    <row r="32" spans="2:21" ht="42.75" customHeight="1">
      <c r="B32" s="20" t="str">
        <f>+B7</f>
        <v>Terreno, usado como parqueadero </v>
      </c>
      <c r="C32" s="56">
        <f>+G7</f>
        <v>800000000</v>
      </c>
      <c r="D32" s="56">
        <f>+C7</f>
        <v>550000000</v>
      </c>
      <c r="E32" s="56">
        <f t="shared" si="2"/>
        <v>250000000</v>
      </c>
      <c r="F32" s="56">
        <f>+E32</f>
        <v>250000000</v>
      </c>
      <c r="G32" s="56"/>
      <c r="I32" s="20" t="str">
        <f t="shared" si="3"/>
        <v>Terreno, usado como parqueadero </v>
      </c>
      <c r="J32" s="56">
        <f>+G7</f>
        <v>800000000</v>
      </c>
      <c r="K32" s="56">
        <f>+C7</f>
        <v>550000000</v>
      </c>
      <c r="L32" s="56">
        <f t="shared" si="4"/>
        <v>250000000</v>
      </c>
      <c r="M32" s="56">
        <f>+L32</f>
        <v>250000000</v>
      </c>
      <c r="N32" s="56"/>
      <c r="P32" s="20" t="str">
        <f t="shared" si="5"/>
        <v>Terreno, usado como parqueadero </v>
      </c>
      <c r="Q32" s="56">
        <f>+U7</f>
        <v>0</v>
      </c>
      <c r="R32" s="56">
        <f>+Q7</f>
        <v>0</v>
      </c>
      <c r="S32" s="56">
        <f t="shared" si="6"/>
        <v>0</v>
      </c>
      <c r="T32" s="56">
        <f>+S32</f>
        <v>0</v>
      </c>
      <c r="U32" s="56"/>
    </row>
    <row r="33" spans="2:21" ht="14.25">
      <c r="B33" s="20" t="str">
        <f>+B9</f>
        <v>Maquinaria</v>
      </c>
      <c r="C33" s="56">
        <f>+G9</f>
        <v>436363636</v>
      </c>
      <c r="D33" s="56">
        <f>+C9-D9</f>
        <v>412632662</v>
      </c>
      <c r="E33" s="56">
        <f t="shared" si="2"/>
        <v>23730974</v>
      </c>
      <c r="F33" s="56"/>
      <c r="G33" s="56">
        <f>+E33</f>
        <v>23730974</v>
      </c>
      <c r="I33" s="20" t="str">
        <f t="shared" si="3"/>
        <v>Maquinaria</v>
      </c>
      <c r="J33" s="56">
        <f aca="true" t="shared" si="7" ref="J33:J40">+G9-J9</f>
        <v>363636363.3333333</v>
      </c>
      <c r="K33" s="56">
        <f>+C9-D9-I9</f>
        <v>330106129.6</v>
      </c>
      <c r="L33" s="56">
        <f t="shared" si="4"/>
        <v>33530233.73333329</v>
      </c>
      <c r="M33" s="56"/>
      <c r="N33" s="56">
        <f>+L33</f>
        <v>33530233.73333329</v>
      </c>
      <c r="P33" s="20" t="str">
        <f t="shared" si="5"/>
        <v>Maquinaria</v>
      </c>
      <c r="Q33" s="56">
        <f>+U9</f>
        <v>0</v>
      </c>
      <c r="R33" s="56">
        <f>+Q9-R9</f>
        <v>0</v>
      </c>
      <c r="S33" s="56">
        <f t="shared" si="6"/>
        <v>0</v>
      </c>
      <c r="T33" s="56"/>
      <c r="U33" s="56">
        <f>+S33</f>
        <v>0</v>
      </c>
    </row>
    <row r="34" spans="2:21" ht="14.25">
      <c r="B34" s="20" t="str">
        <f>+B10</f>
        <v>Muebles y enseres</v>
      </c>
      <c r="C34" s="56">
        <f>+G10</f>
        <v>195454545</v>
      </c>
      <c r="D34" s="56">
        <f>+C10-D10</f>
        <v>174020379.60000002</v>
      </c>
      <c r="E34" s="56">
        <f t="shared" si="2"/>
        <v>21434165.399999976</v>
      </c>
      <c r="F34" s="56"/>
      <c r="G34" s="56">
        <f>+E34</f>
        <v>21434165.399999976</v>
      </c>
      <c r="I34" s="20" t="str">
        <f t="shared" si="3"/>
        <v>Muebles y enseres</v>
      </c>
      <c r="J34" s="56">
        <f t="shared" si="7"/>
        <v>156363636</v>
      </c>
      <c r="K34" s="56">
        <f>+C10-D10-I10</f>
        <v>130515284.70000002</v>
      </c>
      <c r="L34" s="56">
        <f t="shared" si="4"/>
        <v>25848351.299999982</v>
      </c>
      <c r="M34" s="56"/>
      <c r="N34" s="56">
        <f>+L34</f>
        <v>25848351.299999982</v>
      </c>
      <c r="P34" s="20" t="str">
        <f t="shared" si="5"/>
        <v>Muebles y enseres</v>
      </c>
      <c r="Q34" s="56">
        <f>+U10</f>
        <v>0</v>
      </c>
      <c r="R34" s="56">
        <f>+Q10-R10</f>
        <v>0</v>
      </c>
      <c r="S34" s="56">
        <f t="shared" si="6"/>
        <v>0</v>
      </c>
      <c r="T34" s="56"/>
      <c r="U34" s="56">
        <f>+S34</f>
        <v>0</v>
      </c>
    </row>
    <row r="35" spans="2:21" ht="28.5">
      <c r="B35" s="20" t="str">
        <f>+B11</f>
        <v>Equipo de computo</v>
      </c>
      <c r="C35" s="56">
        <f>+G11</f>
        <v>46666667</v>
      </c>
      <c r="D35" s="56">
        <f>+C11-D11</f>
        <v>29213294</v>
      </c>
      <c r="E35" s="56">
        <f t="shared" si="2"/>
        <v>17453373</v>
      </c>
      <c r="F35" s="56"/>
      <c r="G35" s="56">
        <f>+E35</f>
        <v>17453373</v>
      </c>
      <c r="I35" s="20" t="str">
        <f t="shared" si="3"/>
        <v>Equipo de computo</v>
      </c>
      <c r="J35" s="56">
        <f t="shared" si="7"/>
        <v>23333333.5</v>
      </c>
      <c r="K35" s="56">
        <f>+C11-D11-I11</f>
        <v>0</v>
      </c>
      <c r="L35" s="56">
        <f t="shared" si="4"/>
        <v>23333333.5</v>
      </c>
      <c r="M35" s="56"/>
      <c r="N35" s="56">
        <f>+L35</f>
        <v>23333333.5</v>
      </c>
      <c r="P35" s="20" t="str">
        <f t="shared" si="5"/>
        <v>Equipo de computo</v>
      </c>
      <c r="Q35" s="56">
        <f>+U11</f>
        <v>0</v>
      </c>
      <c r="R35" s="56">
        <f>+Q11-R11</f>
        <v>0</v>
      </c>
      <c r="S35" s="56">
        <f t="shared" si="6"/>
        <v>0</v>
      </c>
      <c r="T35" s="56"/>
      <c r="U35" s="56">
        <f>+S35</f>
        <v>0</v>
      </c>
    </row>
    <row r="36" spans="2:21" ht="28.5">
      <c r="B36" s="20" t="str">
        <f>+B12</f>
        <v>Vehículo administrativo</v>
      </c>
      <c r="C36" s="56">
        <f>+G12</f>
        <v>50000000</v>
      </c>
      <c r="D36" s="56">
        <f>+C12-D12</f>
        <v>0</v>
      </c>
      <c r="E36" s="56">
        <f t="shared" si="2"/>
        <v>50000000</v>
      </c>
      <c r="F36" s="56"/>
      <c r="G36" s="56">
        <f>+E36</f>
        <v>50000000</v>
      </c>
      <c r="I36" s="20" t="str">
        <f t="shared" si="3"/>
        <v>Vehículo administrativo</v>
      </c>
      <c r="J36" s="56">
        <f t="shared" si="7"/>
        <v>45833333.333333336</v>
      </c>
      <c r="K36" s="56">
        <f>+C12-D12-I12</f>
        <v>0</v>
      </c>
      <c r="L36" s="56">
        <f t="shared" si="4"/>
        <v>45833333.333333336</v>
      </c>
      <c r="M36" s="56"/>
      <c r="N36" s="56">
        <f>+L36</f>
        <v>45833333.333333336</v>
      </c>
      <c r="P36" s="20" t="str">
        <f t="shared" si="5"/>
        <v>Vehículo administrativo</v>
      </c>
      <c r="Q36" s="56">
        <f>+U12</f>
        <v>0</v>
      </c>
      <c r="R36" s="56">
        <f>+Q12-R12</f>
        <v>0</v>
      </c>
      <c r="S36" s="56">
        <f t="shared" si="6"/>
        <v>0</v>
      </c>
      <c r="T36" s="56"/>
      <c r="U36" s="56">
        <f>+S36</f>
        <v>0</v>
      </c>
    </row>
    <row r="37" spans="2:21" ht="40.5" customHeight="1">
      <c r="B37" s="20" t="str">
        <f>+B13</f>
        <v>Tractomula arrendada a terceros</v>
      </c>
      <c r="C37" s="56">
        <f>+G13</f>
        <v>102142857</v>
      </c>
      <c r="D37" s="56">
        <f>+C13-D13</f>
        <v>0</v>
      </c>
      <c r="E37" s="56">
        <f t="shared" si="2"/>
        <v>102142857</v>
      </c>
      <c r="F37" s="56"/>
      <c r="G37" s="56">
        <f>+E37</f>
        <v>102142857</v>
      </c>
      <c r="I37" s="20" t="str">
        <f t="shared" si="3"/>
        <v>Tractomula arrendada a terceros</v>
      </c>
      <c r="J37" s="56">
        <f t="shared" si="7"/>
        <v>92619047.5</v>
      </c>
      <c r="K37" s="56">
        <f>+C13-D13-I13</f>
        <v>0</v>
      </c>
      <c r="L37" s="56">
        <f t="shared" si="4"/>
        <v>92619047.5</v>
      </c>
      <c r="M37" s="56"/>
      <c r="N37" s="56">
        <f>+L37</f>
        <v>92619047.5</v>
      </c>
      <c r="P37" s="20" t="str">
        <f t="shared" si="5"/>
        <v>Tractomula arrendada a terceros</v>
      </c>
      <c r="Q37" s="56">
        <f>+U13</f>
        <v>0</v>
      </c>
      <c r="R37" s="56">
        <f>+Q13-R13</f>
        <v>0</v>
      </c>
      <c r="S37" s="56">
        <f t="shared" si="6"/>
        <v>0</v>
      </c>
      <c r="T37" s="56"/>
      <c r="U37" s="56">
        <f>+S37</f>
        <v>0</v>
      </c>
    </row>
    <row r="38" spans="2:21" ht="28.5">
      <c r="B38" s="20" t="s">
        <v>132</v>
      </c>
      <c r="C38" s="56">
        <f>+'Otros activos'!C28</f>
        <v>510000000</v>
      </c>
      <c r="D38" s="56">
        <f>+C38</f>
        <v>510000000</v>
      </c>
      <c r="E38" s="56">
        <f t="shared" si="2"/>
        <v>0</v>
      </c>
      <c r="F38" s="56"/>
      <c r="G38" s="56"/>
      <c r="I38" s="20" t="str">
        <f t="shared" si="3"/>
        <v>Mejoras en propiedad ajena</v>
      </c>
      <c r="J38" s="56">
        <f t="shared" si="7"/>
        <v>408000000</v>
      </c>
      <c r="K38" s="56">
        <f>+G14-I14</f>
        <v>408000000</v>
      </c>
      <c r="L38" s="56">
        <f t="shared" si="4"/>
        <v>0</v>
      </c>
      <c r="M38" s="56"/>
      <c r="N38" s="56"/>
      <c r="P38" s="20" t="str">
        <f t="shared" si="5"/>
        <v>Mejoras en propiedad ajena</v>
      </c>
      <c r="Q38" s="56">
        <f>+'Otros activos'!R28</f>
        <v>0</v>
      </c>
      <c r="R38" s="56">
        <f>+Q38</f>
        <v>0</v>
      </c>
      <c r="S38" s="56">
        <f t="shared" si="6"/>
        <v>0</v>
      </c>
      <c r="T38" s="56"/>
      <c r="U38" s="56"/>
    </row>
    <row r="39" spans="2:21" ht="42.75">
      <c r="B39" s="20" t="s">
        <v>275</v>
      </c>
      <c r="C39" s="56">
        <f>+Inversiones!C52-Inversiones!C56</f>
        <v>510208333.3333334</v>
      </c>
      <c r="D39" s="56">
        <f>+Inversiones!C40</f>
        <v>650000000</v>
      </c>
      <c r="E39" s="56">
        <f t="shared" si="2"/>
        <v>-139791666.66666663</v>
      </c>
      <c r="F39" s="56"/>
      <c r="G39" s="56"/>
      <c r="I39" s="20" t="str">
        <f t="shared" si="3"/>
        <v>Vehículos en cuentas en participación</v>
      </c>
      <c r="J39" s="56">
        <f t="shared" si="7"/>
        <v>455208333.3333334</v>
      </c>
      <c r="K39" s="56">
        <f>+Inversiones!C40</f>
        <v>650000000</v>
      </c>
      <c r="L39" s="56">
        <f t="shared" si="4"/>
        <v>-194791666.66666663</v>
      </c>
      <c r="M39" s="56"/>
      <c r="N39" s="56"/>
      <c r="P39" s="20" t="str">
        <f t="shared" si="5"/>
        <v>Vehículos en cuentas en participación</v>
      </c>
      <c r="Q39" s="56">
        <f>+Inversiones!R52-Inversiones!R56</f>
        <v>0</v>
      </c>
      <c r="R39" s="56">
        <f>+Inversiones!R40</f>
        <v>0</v>
      </c>
      <c r="S39" s="56">
        <f t="shared" si="6"/>
        <v>0</v>
      </c>
      <c r="T39" s="56"/>
      <c r="U39" s="56"/>
    </row>
    <row r="40" spans="2:21" ht="36" customHeight="1">
      <c r="B40" s="20" t="s">
        <v>378</v>
      </c>
      <c r="C40" s="56">
        <f>+Leasing!D71+Leasing!C275</f>
        <v>1037478933.108988</v>
      </c>
      <c r="D40" s="56">
        <v>0</v>
      </c>
      <c r="E40" s="56">
        <f t="shared" si="2"/>
        <v>1037478933.108988</v>
      </c>
      <c r="F40" s="56">
        <f>+E40</f>
        <v>1037478933.108988</v>
      </c>
      <c r="G40" s="56"/>
      <c r="I40" s="20" t="str">
        <f t="shared" si="3"/>
        <v>Leasing operativos - CAF</v>
      </c>
      <c r="J40" s="56">
        <f t="shared" si="7"/>
        <v>1009407757.0449263</v>
      </c>
      <c r="K40" s="56">
        <v>0</v>
      </c>
      <c r="L40" s="56">
        <f t="shared" si="4"/>
        <v>1009407757.0449263</v>
      </c>
      <c r="M40" s="56">
        <f>+L40</f>
        <v>1009407757.0449263</v>
      </c>
      <c r="N40" s="56"/>
      <c r="P40" s="20" t="str">
        <f t="shared" si="5"/>
        <v>Leasing operativos - CAF</v>
      </c>
      <c r="Q40" s="56">
        <f>+Leasing!S71+Leasing!R275</f>
        <v>0</v>
      </c>
      <c r="R40" s="56">
        <v>0</v>
      </c>
      <c r="S40" s="56">
        <f t="shared" si="6"/>
        <v>0</v>
      </c>
      <c r="T40" s="56">
        <f>+S40</f>
        <v>0</v>
      </c>
      <c r="U40" s="56"/>
    </row>
    <row r="41" spans="2:21" ht="15">
      <c r="B41" s="87" t="s">
        <v>13</v>
      </c>
      <c r="C41" s="94">
        <f>SUM(C30:C40)</f>
        <v>8715765951.442322</v>
      </c>
      <c r="D41" s="94">
        <f>SUM(D30:D40)</f>
        <v>3953866335.6</v>
      </c>
      <c r="E41" s="94">
        <f>SUM(E30:E40)</f>
        <v>4761899615.842321</v>
      </c>
      <c r="F41" s="94">
        <f>SUM(F30:F40)</f>
        <v>3219929913.108988</v>
      </c>
      <c r="G41" s="94">
        <f>SUM(G30:G40)</f>
        <v>1681761369.4</v>
      </c>
      <c r="I41" s="87" t="s">
        <v>13</v>
      </c>
      <c r="J41" s="94">
        <f>SUM(J30:J40)</f>
        <v>8309303764.444925</v>
      </c>
      <c r="K41" s="94">
        <f>SUM(K30:K40)</f>
        <v>3574371414.2999997</v>
      </c>
      <c r="L41" s="94">
        <f>SUM(L30:L40)</f>
        <v>4734932350.144927</v>
      </c>
      <c r="M41" s="94">
        <f>SUM(M30:M40)</f>
        <v>3119309717.4449263</v>
      </c>
      <c r="N41" s="94">
        <f>SUM(N30:N40)</f>
        <v>1810414299.3666666</v>
      </c>
      <c r="P41" s="87" t="s">
        <v>13</v>
      </c>
      <c r="Q41" s="94">
        <f>SUM(Q30:Q40)</f>
        <v>0</v>
      </c>
      <c r="R41" s="94">
        <f>SUM(R30:R40)</f>
        <v>0</v>
      </c>
      <c r="S41" s="94">
        <f>SUM(S30:S40)</f>
        <v>0</v>
      </c>
      <c r="T41" s="94">
        <f>SUM(T30:T40)</f>
        <v>0</v>
      </c>
      <c r="U41" s="94">
        <f>SUM(U30:U40)</f>
        <v>0</v>
      </c>
    </row>
    <row r="42" spans="4:18" ht="14.25">
      <c r="D42" s="12"/>
      <c r="K42" s="12"/>
      <c r="R42" s="12"/>
    </row>
    <row r="43" spans="3:20" ht="14.25">
      <c r="C43" s="111" t="b">
        <f>+C41='Bal prueba 010115'!F24</f>
        <v>1</v>
      </c>
      <c r="D43" s="12"/>
      <c r="F43" s="13"/>
      <c r="J43" s="111" t="b">
        <f>+J41='Bal prueba 311215'!E24</f>
        <v>1</v>
      </c>
      <c r="K43" s="12"/>
      <c r="M43" s="13"/>
      <c r="Q43" s="111" t="b">
        <f>+Q41='Bal prueba 010115'!U24</f>
        <v>1</v>
      </c>
      <c r="R43" s="12"/>
      <c r="T43" s="13"/>
    </row>
    <row r="44" spans="3:21" ht="15">
      <c r="C44" s="161">
        <f>+'Bal prueba 010115'!F24</f>
        <v>8715765951.442322</v>
      </c>
      <c r="E44" s="13">
        <f>+F41*10%+G41*25%</f>
        <v>742433333.6608988</v>
      </c>
      <c r="F44" s="2" t="s">
        <v>280</v>
      </c>
      <c r="G44" s="13">
        <f>+F41*10%+G41*25%</f>
        <v>742433333.6608988</v>
      </c>
      <c r="J44" s="161">
        <f>+'Bal prueba 311215'!E24</f>
        <v>8309303764.444927</v>
      </c>
      <c r="L44" s="13">
        <f>+M41*10%+N41*25%</f>
        <v>764534546.5861592</v>
      </c>
      <c r="M44" s="2" t="s">
        <v>280</v>
      </c>
      <c r="N44" s="13">
        <f>+M41*10%+N41*25%</f>
        <v>764534546.5861592</v>
      </c>
      <c r="O44" s="13"/>
      <c r="Q44" s="161">
        <f>+'Bal prueba 010115'!U24</f>
        <v>0</v>
      </c>
      <c r="S44" s="13">
        <f>+T41*10%+U41*25%</f>
        <v>0</v>
      </c>
      <c r="T44" s="2" t="s">
        <v>280</v>
      </c>
      <c r="U44" s="13">
        <f>+T41*10%+U41*25%</f>
        <v>0</v>
      </c>
    </row>
    <row r="45" spans="3:21" ht="14.25">
      <c r="C45" s="12">
        <f>+C44-C41</f>
        <v>0</v>
      </c>
      <c r="E45" s="13"/>
      <c r="F45" s="2" t="s">
        <v>281</v>
      </c>
      <c r="G45" s="13">
        <f>+G41*9%</f>
        <v>151358523.246</v>
      </c>
      <c r="J45" s="12">
        <f>+J44-J41</f>
        <v>0</v>
      </c>
      <c r="L45" s="13"/>
      <c r="M45" s="2" t="s">
        <v>281</v>
      </c>
      <c r="N45" s="13">
        <f>+N41*9%</f>
        <v>162937286.943</v>
      </c>
      <c r="O45" s="13"/>
      <c r="Q45" s="12">
        <f>+Q44-Q41</f>
        <v>0</v>
      </c>
      <c r="S45" s="13"/>
      <c r="T45" s="2" t="s">
        <v>281</v>
      </c>
      <c r="U45" s="13">
        <f>+U41*9%</f>
        <v>0</v>
      </c>
    </row>
    <row r="46" spans="3:20" ht="14.25">
      <c r="C46" s="12"/>
      <c r="F46" s="13"/>
      <c r="H46" s="13"/>
      <c r="J46" s="12"/>
      <c r="M46" s="13"/>
      <c r="Q46" s="12"/>
      <c r="T46" s="13"/>
    </row>
    <row r="47" ht="14.25">
      <c r="F47" s="13"/>
    </row>
    <row r="50" spans="3:5" ht="14.25">
      <c r="C50" s="13"/>
      <c r="D50" s="13"/>
      <c r="E50" s="13"/>
    </row>
  </sheetData>
  <sheetProtection/>
  <mergeCells count="1">
    <mergeCell ref="A19:B19"/>
  </mergeCells>
  <printOptions/>
  <pageMargins left="0.3937007874015748" right="0.3937007874015748" top="0.3937007874015748" bottom="0.3937007874015748" header="0" footer="0"/>
  <pageSetup horizontalDpi="600" verticalDpi="600" orientation="landscape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="120" zoomScaleNormal="120" zoomScalePageLayoutView="0" workbookViewId="0" topLeftCell="A1">
      <pane ySplit="1" topLeftCell="A2" activePane="bottomLeft" state="frozen"/>
      <selection pane="topLeft" activeCell="D13" sqref="D13"/>
      <selection pane="bottomLeft" activeCell="D13" sqref="D13"/>
    </sheetView>
  </sheetViews>
  <sheetFormatPr defaultColWidth="11.421875" defaultRowHeight="12.75"/>
  <cols>
    <col min="1" max="1" width="11.421875" style="2" customWidth="1"/>
    <col min="2" max="2" width="27.7109375" style="2" customWidth="1"/>
    <col min="3" max="3" width="20.140625" style="2" customWidth="1"/>
    <col min="4" max="4" width="16.140625" style="2" customWidth="1"/>
    <col min="5" max="5" width="17.00390625" style="2" customWidth="1"/>
    <col min="6" max="6" width="18.421875" style="2" customWidth="1"/>
    <col min="7" max="7" width="14.28125" style="2" customWidth="1"/>
    <col min="8" max="8" width="17.421875" style="2" bestFit="1" customWidth="1"/>
    <col min="9" max="9" width="18.7109375" style="2" customWidth="1"/>
    <col min="10" max="12" width="11.421875" style="2" customWidth="1"/>
    <col min="13" max="13" width="12.8515625" style="2" bestFit="1" customWidth="1"/>
    <col min="14" max="16384" width="11.421875" style="2" customWidth="1"/>
  </cols>
  <sheetData>
    <row r="1" spans="1:3" s="82" customFormat="1" ht="55.5" customHeight="1">
      <c r="A1" s="84" t="s">
        <v>173</v>
      </c>
      <c r="B1" s="83"/>
      <c r="C1" s="84" t="s">
        <v>174</v>
      </c>
    </row>
    <row r="2" ht="14.25"/>
    <row r="3" ht="15">
      <c r="A3" s="1" t="s">
        <v>192</v>
      </c>
    </row>
    <row r="4" ht="15">
      <c r="A4" s="1"/>
    </row>
    <row r="5" ht="15">
      <c r="A5" s="1"/>
    </row>
    <row r="7" spans="1:2" ht="15">
      <c r="A7" s="1" t="s">
        <v>193</v>
      </c>
      <c r="B7" s="1"/>
    </row>
    <row r="8" spans="1:5" ht="30">
      <c r="A8" s="72" t="s">
        <v>146</v>
      </c>
      <c r="B8" s="86" t="s">
        <v>1</v>
      </c>
      <c r="C8" s="86" t="s">
        <v>518</v>
      </c>
      <c r="D8" s="86" t="s">
        <v>521</v>
      </c>
      <c r="E8" s="86" t="s">
        <v>522</v>
      </c>
    </row>
    <row r="9" spans="1:5" ht="30">
      <c r="A9" s="71"/>
      <c r="B9" s="87" t="s">
        <v>16</v>
      </c>
      <c r="C9" s="79">
        <f>SUM(C10:C13)</f>
        <v>217500000</v>
      </c>
      <c r="D9" s="79">
        <f>SUM(D10:D13)</f>
        <v>196000000</v>
      </c>
      <c r="E9" s="79">
        <f>SUM(E10:E13)</f>
        <v>179500000</v>
      </c>
    </row>
    <row r="10" spans="1:5" ht="28.5">
      <c r="A10" s="5">
        <v>170545</v>
      </c>
      <c r="B10" s="20" t="s">
        <v>301</v>
      </c>
      <c r="C10" s="6">
        <v>12500000</v>
      </c>
      <c r="D10" s="6">
        <v>18000000</v>
      </c>
      <c r="E10" s="6">
        <v>21000000</v>
      </c>
    </row>
    <row r="11" spans="1:5" ht="14.25">
      <c r="A11" s="5">
        <v>170535</v>
      </c>
      <c r="B11" s="20" t="s">
        <v>256</v>
      </c>
      <c r="C11" s="6">
        <v>65000000</v>
      </c>
      <c r="D11" s="6">
        <v>35000000</v>
      </c>
      <c r="E11" s="6">
        <v>12500000</v>
      </c>
    </row>
    <row r="12" spans="1:5" ht="14.25">
      <c r="A12" s="5">
        <v>170525</v>
      </c>
      <c r="B12" s="20" t="s">
        <v>147</v>
      </c>
      <c r="C12" s="6">
        <v>85000000</v>
      </c>
      <c r="D12" s="6">
        <v>87000000</v>
      </c>
      <c r="E12" s="6">
        <v>89000000</v>
      </c>
    </row>
    <row r="13" spans="1:5" ht="28.5">
      <c r="A13" s="5">
        <v>170520</v>
      </c>
      <c r="B13" s="20" t="s">
        <v>136</v>
      </c>
      <c r="C13" s="6">
        <v>55000000</v>
      </c>
      <c r="D13" s="6">
        <v>56000000</v>
      </c>
      <c r="E13" s="6">
        <v>57000000</v>
      </c>
    </row>
    <row r="15" ht="15">
      <c r="B15" s="1" t="s">
        <v>610</v>
      </c>
    </row>
    <row r="16" spans="2:5" ht="14.25">
      <c r="B16" s="2" t="s">
        <v>611</v>
      </c>
      <c r="D16" s="12">
        <f>+C10</f>
        <v>12500000</v>
      </c>
      <c r="E16" s="12">
        <f>+D10</f>
        <v>18000000</v>
      </c>
    </row>
    <row r="17" spans="2:5" ht="14.25">
      <c r="B17" s="2" t="s">
        <v>612</v>
      </c>
      <c r="D17" s="12">
        <f aca="true" t="shared" si="0" ref="D17:E19">+C11</f>
        <v>65000000</v>
      </c>
      <c r="E17" s="12">
        <f t="shared" si="0"/>
        <v>35000000</v>
      </c>
    </row>
    <row r="18" spans="2:5" ht="14.25">
      <c r="B18" s="2" t="s">
        <v>613</v>
      </c>
      <c r="D18" s="12">
        <f t="shared" si="0"/>
        <v>85000000</v>
      </c>
      <c r="E18" s="12">
        <f t="shared" si="0"/>
        <v>87000000</v>
      </c>
    </row>
    <row r="19" spans="2:5" ht="14.25">
      <c r="B19" s="2" t="s">
        <v>614</v>
      </c>
      <c r="D19" s="12">
        <f t="shared" si="0"/>
        <v>55000000</v>
      </c>
      <c r="E19" s="12">
        <f t="shared" si="0"/>
        <v>56000000</v>
      </c>
    </row>
    <row r="23" ht="15">
      <c r="A23" s="1" t="s">
        <v>194</v>
      </c>
    </row>
    <row r="24" spans="1:8" ht="30">
      <c r="A24" s="72" t="s">
        <v>146</v>
      </c>
      <c r="B24" s="87" t="s">
        <v>1</v>
      </c>
      <c r="C24" s="86" t="s">
        <v>52</v>
      </c>
      <c r="D24" s="86" t="s">
        <v>518</v>
      </c>
      <c r="E24" s="86" t="s">
        <v>521</v>
      </c>
      <c r="F24" s="86" t="s">
        <v>522</v>
      </c>
      <c r="H24" s="72" t="s">
        <v>47</v>
      </c>
    </row>
    <row r="25" spans="1:13" ht="15">
      <c r="A25" s="71"/>
      <c r="B25" s="87" t="s">
        <v>24</v>
      </c>
      <c r="C25" s="79">
        <f>SUM(C26:C31)</f>
        <v>1046250000</v>
      </c>
      <c r="D25" s="79">
        <f>SUM(D26:D31)</f>
        <v>740000000</v>
      </c>
      <c r="E25" s="79">
        <f>SUM(E26:E31)</f>
        <v>570000000</v>
      </c>
      <c r="F25" s="79">
        <f>SUM(F26:F31)</f>
        <v>400000000</v>
      </c>
      <c r="H25" s="8">
        <f>SUM(H26:H31)</f>
        <v>0</v>
      </c>
      <c r="M25" s="13"/>
    </row>
    <row r="26" spans="1:13" ht="14.25">
      <c r="A26" s="5">
        <v>171004</v>
      </c>
      <c r="B26" s="20" t="s">
        <v>66</v>
      </c>
      <c r="C26" s="6">
        <v>450000000</v>
      </c>
      <c r="D26" s="6">
        <v>0</v>
      </c>
      <c r="E26" s="6">
        <v>0</v>
      </c>
      <c r="F26" s="6">
        <v>0</v>
      </c>
      <c r="H26" s="12"/>
      <c r="M26" s="13"/>
    </row>
    <row r="27" spans="1:13" ht="14.25">
      <c r="A27" s="5">
        <v>171004</v>
      </c>
      <c r="B27" s="20" t="s">
        <v>67</v>
      </c>
      <c r="C27" s="6">
        <f>+C26/5*-2</f>
        <v>-180000000</v>
      </c>
      <c r="D27" s="6">
        <f>+D26/5*-2</f>
        <v>0</v>
      </c>
      <c r="E27" s="6">
        <v>0</v>
      </c>
      <c r="F27" s="6">
        <v>0</v>
      </c>
      <c r="H27" s="12"/>
      <c r="M27" s="13"/>
    </row>
    <row r="28" spans="1:13" ht="14.25">
      <c r="A28" s="5">
        <v>171024</v>
      </c>
      <c r="B28" s="20" t="s">
        <v>132</v>
      </c>
      <c r="C28" s="169">
        <f>850000000-340000000</f>
        <v>510000000</v>
      </c>
      <c r="D28" s="169">
        <f>+C28</f>
        <v>510000000</v>
      </c>
      <c r="E28" s="169">
        <f>(850000000)-(850000000/5)*3</f>
        <v>340000000</v>
      </c>
      <c r="F28" s="169">
        <f>(850000000)-(850000000/5)*4</f>
        <v>170000000</v>
      </c>
      <c r="G28" s="2" t="s">
        <v>429</v>
      </c>
      <c r="J28" s="2">
        <v>850</v>
      </c>
      <c r="K28" s="2">
        <f>+J28/5</f>
        <v>170</v>
      </c>
      <c r="M28" s="13"/>
    </row>
    <row r="29" spans="1:10" ht="14.25">
      <c r="A29" s="5">
        <v>171016</v>
      </c>
      <c r="B29" s="20" t="s">
        <v>290</v>
      </c>
      <c r="C29" s="6">
        <f>250000000-75000000</f>
        <v>175000000</v>
      </c>
      <c r="D29" s="6">
        <f>250000000-75000000</f>
        <v>175000000</v>
      </c>
      <c r="E29" s="6">
        <f>250000000-75000000</f>
        <v>175000000</v>
      </c>
      <c r="F29" s="6">
        <f>250000000-75000000</f>
        <v>175000000</v>
      </c>
      <c r="G29" s="2" t="s">
        <v>430</v>
      </c>
      <c r="J29" s="2">
        <v>340</v>
      </c>
    </row>
    <row r="30" spans="1:7" ht="14.25">
      <c r="A30" s="5">
        <v>171016</v>
      </c>
      <c r="B30" s="20" t="s">
        <v>232</v>
      </c>
      <c r="C30" s="6">
        <f>125000000-70000000</f>
        <v>55000000</v>
      </c>
      <c r="D30" s="6">
        <f>125000000-70000000</f>
        <v>55000000</v>
      </c>
      <c r="E30" s="6">
        <f>125000000-70000000</f>
        <v>55000000</v>
      </c>
      <c r="F30" s="6">
        <f>125000000-70000000</f>
        <v>55000000</v>
      </c>
      <c r="G30" s="2" t="s">
        <v>430</v>
      </c>
    </row>
    <row r="31" spans="1:8" ht="14.25">
      <c r="A31" s="5">
        <v>171044</v>
      </c>
      <c r="B31" s="20" t="s">
        <v>111</v>
      </c>
      <c r="C31" s="6">
        <v>36250000</v>
      </c>
      <c r="D31" s="6">
        <v>0</v>
      </c>
      <c r="E31" s="6">
        <v>0</v>
      </c>
      <c r="F31" s="6">
        <v>0</v>
      </c>
      <c r="H31" s="12"/>
    </row>
    <row r="33" spans="2:4" ht="14.25">
      <c r="B33" s="2" t="s">
        <v>617</v>
      </c>
      <c r="C33" s="2" t="s">
        <v>0</v>
      </c>
      <c r="D33" s="12"/>
    </row>
    <row r="34" ht="14.25">
      <c r="D34" s="12"/>
    </row>
    <row r="35" ht="14.25">
      <c r="D35" s="12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75"/>
  <sheetViews>
    <sheetView showGridLines="0" zoomScale="140" zoomScaleNormal="140" zoomScalePageLayoutView="0" workbookViewId="0" topLeftCell="A175">
      <selection activeCell="D13" sqref="D13"/>
    </sheetView>
  </sheetViews>
  <sheetFormatPr defaultColWidth="11.421875" defaultRowHeight="12.75"/>
  <cols>
    <col min="2" max="2" width="17.57421875" style="0" bestFit="1" customWidth="1"/>
    <col min="3" max="3" width="19.421875" style="0" customWidth="1"/>
    <col min="4" max="4" width="17.7109375" style="0" bestFit="1" customWidth="1"/>
    <col min="6" max="6" width="16.28125" style="0" customWidth="1"/>
    <col min="7" max="7" width="16.8515625" style="0" customWidth="1"/>
  </cols>
  <sheetData>
    <row r="2" spans="1:2" ht="12.75">
      <c r="A2" s="144" t="s">
        <v>302</v>
      </c>
      <c r="B2" s="143" t="s">
        <v>303</v>
      </c>
    </row>
    <row r="3" ht="12.75">
      <c r="B3" s="143" t="s">
        <v>304</v>
      </c>
    </row>
    <row r="4" ht="12.75">
      <c r="B4" s="143" t="s">
        <v>305</v>
      </c>
    </row>
    <row r="5" ht="12.75">
      <c r="B5" s="143" t="s">
        <v>306</v>
      </c>
    </row>
    <row r="6" ht="12.75">
      <c r="B6" s="143" t="s">
        <v>307</v>
      </c>
    </row>
    <row r="7" ht="12.75">
      <c r="B7" s="143" t="s">
        <v>308</v>
      </c>
    </row>
    <row r="8" ht="12.75">
      <c r="B8" s="143" t="s">
        <v>309</v>
      </c>
    </row>
    <row r="9" spans="2:4" ht="12.75">
      <c r="B9" s="143" t="s">
        <v>317</v>
      </c>
      <c r="D9" s="143" t="s">
        <v>321</v>
      </c>
    </row>
    <row r="11" spans="1:2" ht="12.75">
      <c r="A11" s="144" t="s">
        <v>310</v>
      </c>
      <c r="B11" s="143" t="s">
        <v>311</v>
      </c>
    </row>
    <row r="12" ht="12.75">
      <c r="B12" s="143" t="s">
        <v>312</v>
      </c>
    </row>
    <row r="13" spans="2:4" ht="12.75">
      <c r="B13" s="143" t="s">
        <v>313</v>
      </c>
      <c r="D13" s="44">
        <v>12500000</v>
      </c>
    </row>
    <row r="14" spans="2:4" ht="12.75">
      <c r="B14" s="143" t="s">
        <v>314</v>
      </c>
      <c r="D14" s="143" t="s">
        <v>315</v>
      </c>
    </row>
    <row r="15" spans="2:5" ht="12.75">
      <c r="B15" s="143" t="s">
        <v>316</v>
      </c>
      <c r="D15" s="146">
        <v>0.125</v>
      </c>
      <c r="E15" s="143" t="s">
        <v>3</v>
      </c>
    </row>
    <row r="16" spans="2:4" ht="12.75">
      <c r="B16" s="143" t="s">
        <v>317</v>
      </c>
      <c r="D16" s="143" t="s">
        <v>318</v>
      </c>
    </row>
    <row r="17" ht="12.75">
      <c r="B17" s="143" t="s">
        <v>319</v>
      </c>
    </row>
    <row r="18" ht="12.75">
      <c r="B18" s="143" t="s">
        <v>320</v>
      </c>
    </row>
    <row r="20" s="154" customFormat="1" ht="12.75"/>
    <row r="22" spans="1:2" ht="12.75">
      <c r="A22" s="144" t="s">
        <v>302</v>
      </c>
      <c r="B22" s="143" t="s">
        <v>322</v>
      </c>
    </row>
    <row r="23" ht="12.75">
      <c r="B23" s="143" t="s">
        <v>323</v>
      </c>
    </row>
    <row r="24" ht="12.75">
      <c r="B24" s="143" t="s">
        <v>324</v>
      </c>
    </row>
    <row r="25" spans="1:6" ht="12.75">
      <c r="A25" s="144" t="s">
        <v>198</v>
      </c>
      <c r="B25" s="144" t="s">
        <v>241</v>
      </c>
      <c r="C25" s="144" t="s">
        <v>326</v>
      </c>
      <c r="D25" s="144" t="s">
        <v>68</v>
      </c>
      <c r="E25" s="144"/>
      <c r="F25" s="144"/>
    </row>
    <row r="26" spans="2:4" ht="12.75">
      <c r="B26" s="44">
        <v>-380000000</v>
      </c>
      <c r="D26" s="151">
        <f>-B26</f>
        <v>380000000</v>
      </c>
    </row>
    <row r="27" spans="1:4" ht="12.75">
      <c r="A27" s="147">
        <v>41275</v>
      </c>
      <c r="B27" s="44">
        <v>12500000</v>
      </c>
      <c r="C27" s="151">
        <f>+D26*$B$63</f>
        <v>3587515.0257448405</v>
      </c>
      <c r="D27" s="151">
        <f>+D26+C27-B27</f>
        <v>371087515.02574486</v>
      </c>
    </row>
    <row r="28" spans="1:4" ht="12.75">
      <c r="A28" s="147">
        <v>41306</v>
      </c>
      <c r="B28" s="44">
        <v>12500000</v>
      </c>
      <c r="C28" s="151">
        <f aca="true" t="shared" si="0" ref="C28:C62">+D27*$B$63</f>
        <v>3503373.7790030893</v>
      </c>
      <c r="D28" s="151">
        <f aca="true" t="shared" si="1" ref="D28:D62">+D27+C28-B28</f>
        <v>362090888.80474794</v>
      </c>
    </row>
    <row r="29" spans="1:4" ht="12.75">
      <c r="A29" s="147">
        <v>41334</v>
      </c>
      <c r="B29" s="44">
        <v>12500000</v>
      </c>
      <c r="C29" s="151">
        <f t="shared" si="0"/>
        <v>3418438.1691377303</v>
      </c>
      <c r="D29" s="151">
        <f t="shared" si="1"/>
        <v>353009326.97388566</v>
      </c>
    </row>
    <row r="30" spans="1:4" ht="12.75">
      <c r="A30" s="147">
        <v>41365</v>
      </c>
      <c r="B30" s="44">
        <v>12500000</v>
      </c>
      <c r="C30" s="151">
        <f t="shared" si="0"/>
        <v>3332700.696702338</v>
      </c>
      <c r="D30" s="151">
        <f t="shared" si="1"/>
        <v>343842027.670588</v>
      </c>
    </row>
    <row r="31" spans="1:4" ht="12.75">
      <c r="A31" s="147">
        <v>41395</v>
      </c>
      <c r="B31" s="44">
        <v>12500000</v>
      </c>
      <c r="C31" s="151">
        <f t="shared" si="0"/>
        <v>3246153.791449494</v>
      </c>
      <c r="D31" s="151">
        <f t="shared" si="1"/>
        <v>334588181.4620375</v>
      </c>
    </row>
    <row r="32" spans="1:4" ht="12.75">
      <c r="A32" s="147">
        <v>41426</v>
      </c>
      <c r="B32" s="44">
        <v>12500000</v>
      </c>
      <c r="C32" s="151">
        <f t="shared" si="0"/>
        <v>3158789.811662371</v>
      </c>
      <c r="D32" s="151">
        <f t="shared" si="1"/>
        <v>325246971.2736999</v>
      </c>
    </row>
    <row r="33" spans="1:4" ht="12.75">
      <c r="A33" s="147">
        <v>41456</v>
      </c>
      <c r="B33" s="44">
        <v>12500000</v>
      </c>
      <c r="C33" s="151">
        <f t="shared" si="0"/>
        <v>3070601.043479997</v>
      </c>
      <c r="D33" s="151">
        <f t="shared" si="1"/>
        <v>315817572.31717986</v>
      </c>
    </row>
    <row r="34" spans="1:4" ht="12.75">
      <c r="A34" s="147">
        <v>41487</v>
      </c>
      <c r="B34" s="44">
        <v>12500000</v>
      </c>
      <c r="C34" s="151">
        <f t="shared" si="0"/>
        <v>2981579.7002161597</v>
      </c>
      <c r="D34" s="151">
        <f t="shared" si="1"/>
        <v>306299152.01739603</v>
      </c>
    </row>
    <row r="35" spans="1:4" ht="12.75">
      <c r="A35" s="147">
        <v>41518</v>
      </c>
      <c r="B35" s="44">
        <v>12500000</v>
      </c>
      <c r="C35" s="151">
        <f t="shared" si="0"/>
        <v>2891717.921671872</v>
      </c>
      <c r="D35" s="151">
        <f t="shared" si="1"/>
        <v>296690869.9390679</v>
      </c>
    </row>
    <row r="36" spans="1:4" ht="12.75">
      <c r="A36" s="147">
        <v>41548</v>
      </c>
      <c r="B36" s="44">
        <v>12500000</v>
      </c>
      <c r="C36" s="151">
        <f t="shared" si="0"/>
        <v>2801007.773441354</v>
      </c>
      <c r="D36" s="151">
        <f t="shared" si="1"/>
        <v>286991877.7125093</v>
      </c>
    </row>
    <row r="37" spans="1:4" ht="12.75">
      <c r="A37" s="147">
        <v>41579</v>
      </c>
      <c r="B37" s="44">
        <v>12500000</v>
      </c>
      <c r="C37" s="151">
        <f t="shared" si="0"/>
        <v>2709441.2462114547</v>
      </c>
      <c r="D37" s="151">
        <f t="shared" si="1"/>
        <v>277201318.95872074</v>
      </c>
    </row>
    <row r="38" spans="1:4" ht="12.75">
      <c r="A38" s="147">
        <v>41609</v>
      </c>
      <c r="B38" s="44">
        <v>12500000</v>
      </c>
      <c r="C38" s="151">
        <f t="shared" si="0"/>
        <v>2617010.2550544706</v>
      </c>
      <c r="D38" s="151">
        <f t="shared" si="1"/>
        <v>267318329.21377522</v>
      </c>
    </row>
    <row r="39" spans="1:4" ht="12.75">
      <c r="A39" s="147">
        <v>41640</v>
      </c>
      <c r="B39" s="44">
        <v>12500000</v>
      </c>
      <c r="C39" s="151">
        <f t="shared" si="0"/>
        <v>2523706.6387142753</v>
      </c>
      <c r="D39" s="151">
        <f t="shared" si="1"/>
        <v>257342035.85248947</v>
      </c>
    </row>
    <row r="40" spans="1:4" ht="12.75">
      <c r="A40" s="147">
        <v>41671</v>
      </c>
      <c r="B40" s="44">
        <v>12500000</v>
      </c>
      <c r="C40" s="151">
        <f t="shared" si="0"/>
        <v>2429522.1588857197</v>
      </c>
      <c r="D40" s="151">
        <f t="shared" si="1"/>
        <v>247271558.0113752</v>
      </c>
    </row>
    <row r="41" spans="1:4" ht="12.75">
      <c r="A41" s="147">
        <v>41699</v>
      </c>
      <c r="B41" s="44">
        <v>12500000</v>
      </c>
      <c r="C41" s="151">
        <f t="shared" si="0"/>
        <v>2334448.499487225</v>
      </c>
      <c r="D41" s="151">
        <f t="shared" si="1"/>
        <v>237106006.5108624</v>
      </c>
    </row>
    <row r="42" spans="1:4" ht="12.75">
      <c r="A42" s="147">
        <v>41730</v>
      </c>
      <c r="B42" s="44">
        <v>12500000</v>
      </c>
      <c r="C42" s="151">
        <f t="shared" si="0"/>
        <v>2238477.265926508</v>
      </c>
      <c r="D42" s="151">
        <f t="shared" si="1"/>
        <v>226844483.77678892</v>
      </c>
    </row>
    <row r="43" spans="1:4" ht="12.75">
      <c r="A43" s="147">
        <v>41760</v>
      </c>
      <c r="B43" s="44">
        <v>12500000</v>
      </c>
      <c r="C43" s="151">
        <f t="shared" si="0"/>
        <v>2141599.984359374</v>
      </c>
      <c r="D43" s="151">
        <f t="shared" si="1"/>
        <v>216486083.7611483</v>
      </c>
    </row>
    <row r="44" spans="1:4" ht="12.75">
      <c r="A44" s="147">
        <v>41791</v>
      </c>
      <c r="B44" s="44">
        <v>12500000</v>
      </c>
      <c r="C44" s="151">
        <f t="shared" si="0"/>
        <v>2043808.100941515</v>
      </c>
      <c r="D44" s="151">
        <f t="shared" si="1"/>
        <v>206029891.8620898</v>
      </c>
    </row>
    <row r="45" spans="1:4" ht="12.75">
      <c r="A45" s="147">
        <v>41821</v>
      </c>
      <c r="B45" s="44">
        <v>12500000</v>
      </c>
      <c r="C45" s="151">
        <f t="shared" si="0"/>
        <v>1945092.9810732417</v>
      </c>
      <c r="D45" s="151">
        <f t="shared" si="1"/>
        <v>195474984.84316304</v>
      </c>
    </row>
    <row r="46" spans="1:4" ht="12.75">
      <c r="A46" s="147">
        <v>41852</v>
      </c>
      <c r="B46" s="44">
        <v>12500000</v>
      </c>
      <c r="C46" s="151">
        <f t="shared" si="0"/>
        <v>1845445.9086370852</v>
      </c>
      <c r="D46" s="151">
        <f t="shared" si="1"/>
        <v>184820430.75180012</v>
      </c>
    </row>
    <row r="47" spans="1:4" ht="12.75">
      <c r="A47" s="147">
        <v>41883</v>
      </c>
      <c r="B47" s="44">
        <v>12500000</v>
      </c>
      <c r="C47" s="151">
        <f t="shared" si="0"/>
        <v>1744858.085228202</v>
      </c>
      <c r="D47" s="151">
        <f t="shared" si="1"/>
        <v>174065288.83702832</v>
      </c>
    </row>
    <row r="48" spans="1:4" ht="12.75">
      <c r="A48" s="147">
        <v>41913</v>
      </c>
      <c r="B48" s="44">
        <v>12500000</v>
      </c>
      <c r="C48" s="151">
        <f t="shared" si="0"/>
        <v>1643320.6293775127</v>
      </c>
      <c r="D48" s="151">
        <f t="shared" si="1"/>
        <v>163208609.46640584</v>
      </c>
    </row>
    <row r="49" spans="1:4" ht="12.75">
      <c r="A49" s="147">
        <v>41944</v>
      </c>
      <c r="B49" s="44">
        <v>12500000</v>
      </c>
      <c r="C49" s="151">
        <f t="shared" si="0"/>
        <v>1540824.5757675068</v>
      </c>
      <c r="D49" s="151">
        <f t="shared" si="1"/>
        <v>152249434.04217336</v>
      </c>
    </row>
    <row r="50" spans="1:5" ht="12.75">
      <c r="A50" s="149">
        <v>41974</v>
      </c>
      <c r="B50" s="150">
        <v>12500000</v>
      </c>
      <c r="C50" s="152">
        <f t="shared" si="0"/>
        <v>1437360.8744406446</v>
      </c>
      <c r="D50" s="152">
        <f t="shared" si="1"/>
        <v>141186794.916614</v>
      </c>
      <c r="E50" s="143" t="s">
        <v>334</v>
      </c>
    </row>
    <row r="51" spans="1:4" ht="12.75">
      <c r="A51" s="147">
        <v>42005</v>
      </c>
      <c r="B51" s="44">
        <v>12500000</v>
      </c>
      <c r="C51" s="151">
        <f t="shared" si="0"/>
        <v>1332920.3900002842</v>
      </c>
      <c r="D51" s="151">
        <f t="shared" si="1"/>
        <v>130019715.30661428</v>
      </c>
    </row>
    <row r="52" spans="1:4" ht="12.75">
      <c r="A52" s="147">
        <v>42036</v>
      </c>
      <c r="B52" s="44">
        <v>12500000</v>
      </c>
      <c r="C52" s="151">
        <f t="shared" si="0"/>
        <v>1227493.9008040663</v>
      </c>
      <c r="D52" s="151">
        <f t="shared" si="1"/>
        <v>118747209.20741835</v>
      </c>
    </row>
    <row r="53" spans="1:7" ht="12.75">
      <c r="A53" s="147">
        <v>42064</v>
      </c>
      <c r="B53" s="44">
        <v>12500000</v>
      </c>
      <c r="C53" s="151">
        <f t="shared" si="0"/>
        <v>1121072.0981496826</v>
      </c>
      <c r="D53" s="151">
        <f t="shared" si="1"/>
        <v>107368281.30556804</v>
      </c>
      <c r="F53" s="143" t="s">
        <v>98</v>
      </c>
      <c r="G53" s="143" t="s">
        <v>225</v>
      </c>
    </row>
    <row r="54" spans="1:7" ht="12.75">
      <c r="A54" s="147">
        <v>42095</v>
      </c>
      <c r="B54" s="44">
        <v>12500000</v>
      </c>
      <c r="C54" s="151">
        <f t="shared" si="0"/>
        <v>1013645.5854529585</v>
      </c>
      <c r="D54" s="151">
        <f t="shared" si="1"/>
        <v>95881926.891021</v>
      </c>
      <c r="F54" s="151">
        <f>SUM(B51:B62)</f>
        <v>150000000</v>
      </c>
      <c r="G54">
        <v>0</v>
      </c>
    </row>
    <row r="55" spans="1:7" ht="12.75">
      <c r="A55" s="147">
        <v>42125</v>
      </c>
      <c r="B55" s="44">
        <v>12500000</v>
      </c>
      <c r="C55" s="151">
        <f t="shared" si="0"/>
        <v>905204.8774181741</v>
      </c>
      <c r="D55" s="151">
        <f t="shared" si="1"/>
        <v>84287131.76843917</v>
      </c>
      <c r="F55" s="151">
        <f>SUM(C51:C62)</f>
        <v>8813205.083387688</v>
      </c>
      <c r="G55">
        <v>0</v>
      </c>
    </row>
    <row r="56" spans="1:4" ht="12.75">
      <c r="A56" s="147">
        <v>42156</v>
      </c>
      <c r="B56" s="44">
        <v>12500000</v>
      </c>
      <c r="C56" s="151">
        <f t="shared" si="0"/>
        <v>795740.3992005548</v>
      </c>
      <c r="D56" s="151">
        <f t="shared" si="1"/>
        <v>72582872.16763973</v>
      </c>
    </row>
    <row r="57" spans="1:4" ht="12.75">
      <c r="A57" s="147">
        <v>42186</v>
      </c>
      <c r="B57" s="44">
        <v>12500000</v>
      </c>
      <c r="C57" s="151">
        <f t="shared" si="0"/>
        <v>685242.4855608541</v>
      </c>
      <c r="D57" s="151">
        <f t="shared" si="1"/>
        <v>60768114.65320058</v>
      </c>
    </row>
    <row r="58" spans="1:4" ht="12.75">
      <c r="A58" s="147">
        <v>42217</v>
      </c>
      <c r="B58" s="44">
        <v>12500000</v>
      </c>
      <c r="C58" s="151">
        <f t="shared" si="0"/>
        <v>573701.3800119534</v>
      </c>
      <c r="D58" s="151">
        <f t="shared" si="1"/>
        <v>48841816.033212535</v>
      </c>
    </row>
    <row r="59" spans="1:4" ht="12.75">
      <c r="A59" s="147">
        <v>42248</v>
      </c>
      <c r="B59" s="44">
        <v>12500000</v>
      </c>
      <c r="C59" s="151">
        <f t="shared" si="0"/>
        <v>461107.2339574085</v>
      </c>
      <c r="D59" s="151">
        <f t="shared" si="1"/>
        <v>36802923.267169945</v>
      </c>
    </row>
    <row r="60" spans="1:4" ht="12.75">
      <c r="A60" s="147">
        <v>42278</v>
      </c>
      <c r="B60" s="44">
        <v>12500000</v>
      </c>
      <c r="C60" s="151">
        <f t="shared" si="0"/>
        <v>347450.10582185944</v>
      </c>
      <c r="D60" s="151">
        <f t="shared" si="1"/>
        <v>24650373.372991808</v>
      </c>
    </row>
    <row r="61" spans="1:4" ht="12.75">
      <c r="A61" s="147">
        <v>42309</v>
      </c>
      <c r="B61" s="44">
        <v>12500000</v>
      </c>
      <c r="C61" s="151">
        <f t="shared" si="0"/>
        <v>232719.96017323327</v>
      </c>
      <c r="D61" s="151">
        <f t="shared" si="1"/>
        <v>12383093.333165042</v>
      </c>
    </row>
    <row r="62" spans="1:4" ht="12.75">
      <c r="A62" s="147">
        <v>42339</v>
      </c>
      <c r="B62" s="44">
        <v>12500000</v>
      </c>
      <c r="C62" s="151">
        <f t="shared" si="0"/>
        <v>116906.66683665881</v>
      </c>
      <c r="D62" s="152">
        <f t="shared" si="1"/>
        <v>1.7005950212478638E-06</v>
      </c>
    </row>
    <row r="63" spans="1:4" ht="12.75">
      <c r="A63" s="144" t="s">
        <v>325</v>
      </c>
      <c r="B63" s="148">
        <f>+IRR(B26:B62)</f>
        <v>0.009440829015118002</v>
      </c>
      <c r="C63" s="151"/>
      <c r="D63" s="151"/>
    </row>
    <row r="64" spans="1:4" ht="12.75">
      <c r="A64" s="154" t="s">
        <v>336</v>
      </c>
      <c r="B64" s="170">
        <f>+NPV(C64,B27:B62)</f>
        <v>384689637.73426384</v>
      </c>
      <c r="C64" s="171">
        <f>+(1+11%)^(1/12)-1</f>
        <v>0.008734593823551906</v>
      </c>
      <c r="D64" t="s">
        <v>0</v>
      </c>
    </row>
    <row r="65" ht="12.75">
      <c r="D65" s="145" t="s">
        <v>0</v>
      </c>
    </row>
    <row r="66" spans="1:4" ht="12.75">
      <c r="A66" s="143" t="s">
        <v>327</v>
      </c>
      <c r="D66" t="s">
        <v>0</v>
      </c>
    </row>
    <row r="68" spans="1:5" ht="12.75">
      <c r="A68" s="143" t="s">
        <v>328</v>
      </c>
      <c r="D68" s="151">
        <f>+B26*-1</f>
        <v>380000000</v>
      </c>
      <c r="E68" s="143" t="s">
        <v>330</v>
      </c>
    </row>
    <row r="69" spans="1:5" ht="12.75">
      <c r="A69" s="143" t="s">
        <v>329</v>
      </c>
      <c r="D69" s="151">
        <f>-D68/36*24</f>
        <v>-253333333.33333334</v>
      </c>
      <c r="E69" s="143" t="s">
        <v>331</v>
      </c>
    </row>
    <row r="70" spans="1:4" ht="12.75">
      <c r="A70" s="143" t="s">
        <v>332</v>
      </c>
      <c r="D70" s="151"/>
    </row>
    <row r="71" spans="1:5" ht="12.75">
      <c r="A71" s="144" t="s">
        <v>333</v>
      </c>
      <c r="B71" s="144"/>
      <c r="C71" s="144"/>
      <c r="D71" s="153">
        <f>+D68+D69</f>
        <v>126666666.66666666</v>
      </c>
      <c r="E71" s="144"/>
    </row>
    <row r="72" ht="12.75">
      <c r="D72" s="151"/>
    </row>
    <row r="73" s="154" customFormat="1" ht="12.75"/>
    <row r="74" spans="1:2" ht="12.75">
      <c r="A74" s="144" t="s">
        <v>310</v>
      </c>
      <c r="B74" s="143" t="s">
        <v>322</v>
      </c>
    </row>
    <row r="75" ht="12.75">
      <c r="B75" s="143" t="s">
        <v>335</v>
      </c>
    </row>
    <row r="76" ht="12.75">
      <c r="B76" s="143" t="s">
        <v>324</v>
      </c>
    </row>
    <row r="78" spans="1:3" ht="12.75">
      <c r="A78" s="143" t="s">
        <v>313</v>
      </c>
      <c r="C78" s="44">
        <v>12500000</v>
      </c>
    </row>
    <row r="79" spans="1:3" ht="12.75">
      <c r="A79" s="143" t="s">
        <v>314</v>
      </c>
      <c r="C79" s="143" t="s">
        <v>315</v>
      </c>
    </row>
    <row r="80" spans="1:6" ht="12.75">
      <c r="A80" s="143" t="s">
        <v>316</v>
      </c>
      <c r="C80" s="146">
        <v>0.125</v>
      </c>
      <c r="D80" s="143" t="s">
        <v>3</v>
      </c>
      <c r="E80" s="156">
        <f>+(1+C80)^(1/12)-1</f>
        <v>0.00986358055321146</v>
      </c>
      <c r="F80" s="144" t="s">
        <v>69</v>
      </c>
    </row>
    <row r="81" spans="1:3" ht="12.75">
      <c r="A81" s="143" t="s">
        <v>317</v>
      </c>
      <c r="C81" s="143" t="s">
        <v>318</v>
      </c>
    </row>
    <row r="82" ht="12.75">
      <c r="A82" s="143" t="s">
        <v>319</v>
      </c>
    </row>
    <row r="83" ht="12.75">
      <c r="A83" s="143" t="s">
        <v>320</v>
      </c>
    </row>
    <row r="85" spans="1:4" ht="12.75">
      <c r="A85" s="144" t="s">
        <v>198</v>
      </c>
      <c r="B85" s="144" t="s">
        <v>241</v>
      </c>
      <c r="C85" s="144" t="s">
        <v>326</v>
      </c>
      <c r="D85" s="144" t="s">
        <v>68</v>
      </c>
    </row>
    <row r="86" ht="12.75">
      <c r="D86" s="145">
        <f>+B267</f>
        <v>1050937230.5103709</v>
      </c>
    </row>
    <row r="87" spans="1:4" ht="12.75">
      <c r="A87" s="147">
        <v>39083</v>
      </c>
      <c r="B87" s="44">
        <v>12500000</v>
      </c>
      <c r="C87" s="44">
        <f>+D86*$E$80</f>
        <v>10366004.029508002</v>
      </c>
      <c r="D87" s="151">
        <f>+D86+C87-B87</f>
        <v>1048803234.5398788</v>
      </c>
    </row>
    <row r="88" spans="1:4" ht="12.75">
      <c r="A88" s="147">
        <v>39114</v>
      </c>
      <c r="B88" s="44">
        <v>12500000</v>
      </c>
      <c r="C88" s="44">
        <f aca="true" t="shared" si="2" ref="C88:C151">+D87*$E$80</f>
        <v>10344955.188352827</v>
      </c>
      <c r="D88" s="151">
        <f aca="true" t="shared" si="3" ref="D88:D151">+D87+C88-B88</f>
        <v>1046648189.7282317</v>
      </c>
    </row>
    <row r="89" spans="1:4" ht="12.75">
      <c r="A89" s="147">
        <v>39142</v>
      </c>
      <c r="B89" s="44">
        <v>12500000</v>
      </c>
      <c r="C89" s="44">
        <f t="shared" si="2"/>
        <v>10323698.730257364</v>
      </c>
      <c r="D89" s="151">
        <f t="shared" si="3"/>
        <v>1044471888.4584891</v>
      </c>
    </row>
    <row r="90" spans="1:4" ht="12.75">
      <c r="A90" s="147">
        <v>39173</v>
      </c>
      <c r="B90" s="44">
        <v>12500000</v>
      </c>
      <c r="C90" s="44">
        <f t="shared" si="2"/>
        <v>10302232.6073752</v>
      </c>
      <c r="D90" s="151">
        <f t="shared" si="3"/>
        <v>1042274121.0658642</v>
      </c>
    </row>
    <row r="91" spans="1:4" ht="12.75">
      <c r="A91" s="147">
        <v>39203</v>
      </c>
      <c r="B91" s="44">
        <v>12500000</v>
      </c>
      <c r="C91" s="44">
        <f t="shared" si="2"/>
        <v>10280554.751660824</v>
      </c>
      <c r="D91" s="151">
        <f t="shared" si="3"/>
        <v>1040054675.817525</v>
      </c>
    </row>
    <row r="92" spans="1:4" ht="12.75">
      <c r="A92" s="147">
        <v>39234</v>
      </c>
      <c r="B92" s="44">
        <v>12500000</v>
      </c>
      <c r="C92" s="44">
        <f t="shared" si="2"/>
        <v>10258663.07467039</v>
      </c>
      <c r="D92" s="151">
        <f t="shared" si="3"/>
        <v>1037813338.8921955</v>
      </c>
    </row>
    <row r="93" spans="1:4" ht="12.75">
      <c r="A93" s="147">
        <v>39264</v>
      </c>
      <c r="B93" s="44">
        <v>12500000</v>
      </c>
      <c r="C93" s="44">
        <f t="shared" si="2"/>
        <v>10236555.467360513</v>
      </c>
      <c r="D93" s="151">
        <f t="shared" si="3"/>
        <v>1035549894.359556</v>
      </c>
    </row>
    <row r="94" spans="1:4" ht="12.75">
      <c r="A94" s="147">
        <v>39295</v>
      </c>
      <c r="B94" s="44">
        <v>12500000</v>
      </c>
      <c r="C94" s="44">
        <f t="shared" si="2"/>
        <v>10214229.799885098</v>
      </c>
      <c r="D94" s="151">
        <f t="shared" si="3"/>
        <v>1033264124.1594411</v>
      </c>
    </row>
    <row r="95" spans="1:4" ht="12.75">
      <c r="A95" s="147">
        <v>39326</v>
      </c>
      <c r="B95" s="44">
        <v>12500000</v>
      </c>
      <c r="C95" s="44">
        <f t="shared" si="2"/>
        <v>10191683.921390135</v>
      </c>
      <c r="D95" s="151">
        <f t="shared" si="3"/>
        <v>1030955808.0808313</v>
      </c>
    </row>
    <row r="96" spans="1:4" ht="12.75">
      <c r="A96" s="147">
        <v>39356</v>
      </c>
      <c r="B96" s="44">
        <v>12500000</v>
      </c>
      <c r="C96" s="44">
        <f t="shared" si="2"/>
        <v>10168915.659806494</v>
      </c>
      <c r="D96" s="151">
        <f t="shared" si="3"/>
        <v>1028624723.7406378</v>
      </c>
    </row>
    <row r="97" spans="1:4" ht="12.75">
      <c r="A97" s="147">
        <v>39387</v>
      </c>
      <c r="B97" s="44">
        <v>12500000</v>
      </c>
      <c r="C97" s="44">
        <f t="shared" si="2"/>
        <v>10145922.821640665</v>
      </c>
      <c r="D97" s="151">
        <f t="shared" si="3"/>
        <v>1026270646.5622784</v>
      </c>
    </row>
    <row r="98" spans="1:4" ht="12.75">
      <c r="A98" s="147">
        <v>39417</v>
      </c>
      <c r="B98" s="44">
        <v>12500000</v>
      </c>
      <c r="C98" s="44">
        <f t="shared" si="2"/>
        <v>10122703.19176344</v>
      </c>
      <c r="D98" s="151">
        <f t="shared" si="3"/>
        <v>1023893349.7540418</v>
      </c>
    </row>
    <row r="99" spans="1:4" ht="12.75">
      <c r="A99" s="147">
        <v>39448</v>
      </c>
      <c r="B99" s="44">
        <v>12500000</v>
      </c>
      <c r="C99" s="44">
        <f t="shared" si="2"/>
        <v>10099254.533196505</v>
      </c>
      <c r="D99" s="151">
        <f t="shared" si="3"/>
        <v>1021492604.2872382</v>
      </c>
    </row>
    <row r="100" spans="1:4" ht="12.75">
      <c r="A100" s="147">
        <v>39479</v>
      </c>
      <c r="B100" s="44">
        <v>12500000</v>
      </c>
      <c r="C100" s="44">
        <f t="shared" si="2"/>
        <v>10075574.586896932</v>
      </c>
      <c r="D100" s="151">
        <f t="shared" si="3"/>
        <v>1019068178.8741351</v>
      </c>
    </row>
    <row r="101" spans="1:4" ht="12.75">
      <c r="A101" s="147">
        <v>39508</v>
      </c>
      <c r="B101" s="44">
        <v>12500000</v>
      </c>
      <c r="C101" s="44">
        <f t="shared" si="2"/>
        <v>10051661.071539536</v>
      </c>
      <c r="D101" s="151">
        <f t="shared" si="3"/>
        <v>1016619839.9456747</v>
      </c>
    </row>
    <row r="102" spans="1:4" ht="12.75">
      <c r="A102" s="147">
        <v>39539</v>
      </c>
      <c r="B102" s="44">
        <v>12500000</v>
      </c>
      <c r="C102" s="44">
        <f t="shared" si="2"/>
        <v>10027511.683297103</v>
      </c>
      <c r="D102" s="151">
        <f t="shared" si="3"/>
        <v>1014147351.6289718</v>
      </c>
    </row>
    <row r="103" spans="1:4" ht="12.75">
      <c r="A103" s="147">
        <v>39569</v>
      </c>
      <c r="B103" s="44">
        <v>12500000</v>
      </c>
      <c r="C103" s="44">
        <f t="shared" si="2"/>
        <v>10003124.09561843</v>
      </c>
      <c r="D103" s="151">
        <f t="shared" si="3"/>
        <v>1011650475.7245903</v>
      </c>
    </row>
    <row r="104" spans="1:4" ht="12.75">
      <c r="A104" s="147">
        <v>39600</v>
      </c>
      <c r="B104" s="44">
        <v>12500000</v>
      </c>
      <c r="C104" s="44">
        <f t="shared" si="2"/>
        <v>9978495.95900419</v>
      </c>
      <c r="D104" s="151">
        <f t="shared" si="3"/>
        <v>1009128971.6835945</v>
      </c>
    </row>
    <row r="105" spans="1:4" ht="12.75">
      <c r="A105" s="147">
        <v>39630</v>
      </c>
      <c r="B105" s="44">
        <v>12500000</v>
      </c>
      <c r="C105" s="44">
        <f t="shared" si="2"/>
        <v>9953624.90078058</v>
      </c>
      <c r="D105" s="151">
        <f t="shared" si="3"/>
        <v>1006582596.584375</v>
      </c>
    </row>
    <row r="106" spans="1:4" ht="12.75">
      <c r="A106" s="147">
        <v>39661</v>
      </c>
      <c r="B106" s="44">
        <v>12500000</v>
      </c>
      <c r="C106" s="44">
        <f t="shared" si="2"/>
        <v>9928508.524870737</v>
      </c>
      <c r="D106" s="151">
        <f t="shared" si="3"/>
        <v>1004011105.1092458</v>
      </c>
    </row>
    <row r="107" spans="1:4" ht="12.75">
      <c r="A107" s="147">
        <v>39692</v>
      </c>
      <c r="B107" s="44">
        <v>12500000</v>
      </c>
      <c r="C107" s="44">
        <f t="shared" si="2"/>
        <v>9903144.411563903</v>
      </c>
      <c r="D107" s="151">
        <f t="shared" si="3"/>
        <v>1001414249.5208097</v>
      </c>
    </row>
    <row r="108" spans="1:4" ht="12.75">
      <c r="A108" s="147">
        <v>39722</v>
      </c>
      <c r="B108" s="44">
        <v>12500000</v>
      </c>
      <c r="C108" s="44">
        <f t="shared" si="2"/>
        <v>9877530.117282307</v>
      </c>
      <c r="D108" s="151">
        <f t="shared" si="3"/>
        <v>998791779.6380919</v>
      </c>
    </row>
    <row r="109" spans="1:4" ht="12.75">
      <c r="A109" s="147">
        <v>39753</v>
      </c>
      <c r="B109" s="44">
        <v>12500000</v>
      </c>
      <c r="C109" s="44">
        <f t="shared" si="2"/>
        <v>9851663.174345748</v>
      </c>
      <c r="D109" s="151">
        <f t="shared" si="3"/>
        <v>996143442.8124377</v>
      </c>
    </row>
    <row r="110" spans="1:4" ht="12.75">
      <c r="A110" s="147">
        <v>39783</v>
      </c>
      <c r="B110" s="44">
        <v>12500000</v>
      </c>
      <c r="C110" s="44">
        <f t="shared" si="2"/>
        <v>9825541.09073387</v>
      </c>
      <c r="D110" s="151">
        <f t="shared" si="3"/>
        <v>993468983.9031715</v>
      </c>
    </row>
    <row r="111" spans="1:4" ht="12.75">
      <c r="A111" s="147">
        <v>39814</v>
      </c>
      <c r="B111" s="44">
        <v>12500000</v>
      </c>
      <c r="C111" s="44">
        <f t="shared" si="2"/>
        <v>9799161.34984607</v>
      </c>
      <c r="D111" s="151">
        <f t="shared" si="3"/>
        <v>990768145.2530177</v>
      </c>
    </row>
    <row r="112" spans="1:4" ht="12.75">
      <c r="A112" s="147">
        <v>39845</v>
      </c>
      <c r="B112" s="44">
        <v>12500000</v>
      </c>
      <c r="C112" s="44">
        <f t="shared" si="2"/>
        <v>9772521.410259051</v>
      </c>
      <c r="D112" s="151">
        <f t="shared" si="3"/>
        <v>988040666.6632767</v>
      </c>
    </row>
    <row r="113" spans="1:4" ht="12.75">
      <c r="A113" s="147">
        <v>39873</v>
      </c>
      <c r="B113" s="44">
        <v>12500000</v>
      </c>
      <c r="C113" s="44">
        <f t="shared" si="2"/>
        <v>9745618.705481982</v>
      </c>
      <c r="D113" s="151">
        <f t="shared" si="3"/>
        <v>985286285.3687587</v>
      </c>
    </row>
    <row r="114" spans="1:4" ht="12.75">
      <c r="A114" s="147">
        <v>39904</v>
      </c>
      <c r="B114" s="44">
        <v>12500000</v>
      </c>
      <c r="C114" s="44">
        <f t="shared" si="2"/>
        <v>9718450.643709244</v>
      </c>
      <c r="D114" s="151">
        <f t="shared" si="3"/>
        <v>982504736.012468</v>
      </c>
    </row>
    <row r="115" spans="1:4" ht="12.75">
      <c r="A115" s="147">
        <v>39934</v>
      </c>
      <c r="B115" s="44">
        <v>12500000</v>
      </c>
      <c r="C115" s="44">
        <f t="shared" si="2"/>
        <v>9691014.607570738</v>
      </c>
      <c r="D115" s="151">
        <f t="shared" si="3"/>
        <v>979695750.6200387</v>
      </c>
    </row>
    <row r="116" spans="1:4" ht="12.75">
      <c r="A116" s="147">
        <v>39965</v>
      </c>
      <c r="B116" s="44">
        <v>12500000</v>
      </c>
      <c r="C116" s="44">
        <f t="shared" si="2"/>
        <v>9663307.953879718</v>
      </c>
      <c r="D116" s="151">
        <f t="shared" si="3"/>
        <v>976859058.5739185</v>
      </c>
    </row>
    <row r="117" spans="1:4" ht="12.75">
      <c r="A117" s="147">
        <v>39995</v>
      </c>
      <c r="B117" s="44">
        <v>12500000</v>
      </c>
      <c r="C117" s="44">
        <f t="shared" si="2"/>
        <v>9635328.013378156</v>
      </c>
      <c r="D117" s="151">
        <f t="shared" si="3"/>
        <v>973994386.5872966</v>
      </c>
    </row>
    <row r="118" spans="1:4" ht="12.75">
      <c r="A118" s="147">
        <v>40026</v>
      </c>
      <c r="B118" s="44">
        <v>12500000</v>
      </c>
      <c r="C118" s="44">
        <f t="shared" si="2"/>
        <v>9607072.090479583</v>
      </c>
      <c r="D118" s="151">
        <f t="shared" si="3"/>
        <v>971101458.6777762</v>
      </c>
    </row>
    <row r="119" spans="1:4" ht="12.75">
      <c r="A119" s="147">
        <v>40057</v>
      </c>
      <c r="B119" s="44">
        <v>12500000</v>
      </c>
      <c r="C119" s="44">
        <f t="shared" si="2"/>
        <v>9578537.463009395</v>
      </c>
      <c r="D119" s="151">
        <f t="shared" si="3"/>
        <v>968179996.1407856</v>
      </c>
    </row>
    <row r="120" spans="1:4" ht="12.75">
      <c r="A120" s="147">
        <v>40087</v>
      </c>
      <c r="B120" s="44">
        <v>12500000</v>
      </c>
      <c r="C120" s="44">
        <f t="shared" si="2"/>
        <v>9549721.381942598</v>
      </c>
      <c r="D120" s="151">
        <f t="shared" si="3"/>
        <v>965229717.5227282</v>
      </c>
    </row>
    <row r="121" spans="1:4" ht="12.75">
      <c r="A121" s="147">
        <v>40118</v>
      </c>
      <c r="B121" s="44">
        <v>12500000</v>
      </c>
      <c r="C121" s="44">
        <f t="shared" si="2"/>
        <v>9520621.071138972</v>
      </c>
      <c r="D121" s="151">
        <f t="shared" si="3"/>
        <v>962250338.5938672</v>
      </c>
    </row>
    <row r="122" spans="1:4" ht="12.75">
      <c r="A122" s="147">
        <v>40148</v>
      </c>
      <c r="B122" s="44">
        <v>12500000</v>
      </c>
      <c r="C122" s="44">
        <f t="shared" si="2"/>
        <v>9491233.72707561</v>
      </c>
      <c r="D122" s="151">
        <f t="shared" si="3"/>
        <v>959241572.3209428</v>
      </c>
    </row>
    <row r="123" spans="1:4" ht="12.75">
      <c r="A123" s="147">
        <v>40179</v>
      </c>
      <c r="B123" s="44">
        <v>12500000</v>
      </c>
      <c r="C123" s="44">
        <f t="shared" si="2"/>
        <v>9461556.518576834</v>
      </c>
      <c r="D123" s="151">
        <f t="shared" si="3"/>
        <v>956203128.8395196</v>
      </c>
    </row>
    <row r="124" spans="1:4" ht="12.75">
      <c r="A124" s="147">
        <v>40210</v>
      </c>
      <c r="B124" s="44">
        <v>12500000</v>
      </c>
      <c r="C124" s="44">
        <f t="shared" si="2"/>
        <v>9431586.586541437</v>
      </c>
      <c r="D124" s="151">
        <f t="shared" si="3"/>
        <v>953134715.426061</v>
      </c>
    </row>
    <row r="125" spans="1:4" ht="12.75">
      <c r="A125" s="147">
        <v>40238</v>
      </c>
      <c r="B125" s="44">
        <v>12500000</v>
      </c>
      <c r="C125" s="44">
        <f t="shared" si="2"/>
        <v>9401321.043667234</v>
      </c>
      <c r="D125" s="151">
        <f t="shared" si="3"/>
        <v>950036036.4697282</v>
      </c>
    </row>
    <row r="126" spans="1:4" ht="12.75">
      <c r="A126" s="147">
        <v>40269</v>
      </c>
      <c r="B126" s="44">
        <v>12500000</v>
      </c>
      <c r="C126" s="44">
        <f t="shared" si="2"/>
        <v>9370756.974172905</v>
      </c>
      <c r="D126" s="151">
        <f t="shared" si="3"/>
        <v>946906793.4439012</v>
      </c>
    </row>
    <row r="127" spans="1:4" ht="12.75">
      <c r="A127" s="147">
        <v>40299</v>
      </c>
      <c r="B127" s="44">
        <v>12500000</v>
      </c>
      <c r="C127" s="44">
        <f t="shared" si="2"/>
        <v>9339891.433517084</v>
      </c>
      <c r="D127" s="151">
        <f t="shared" si="3"/>
        <v>943746684.8774183</v>
      </c>
    </row>
    <row r="128" spans="1:4" ht="12.75">
      <c r="A128" s="147">
        <v>40330</v>
      </c>
      <c r="B128" s="44">
        <v>12500000</v>
      </c>
      <c r="C128" s="44">
        <f t="shared" si="2"/>
        <v>9308721.448114686</v>
      </c>
      <c r="D128" s="151">
        <f t="shared" si="3"/>
        <v>940555406.3255329</v>
      </c>
    </row>
    <row r="129" spans="1:4" ht="12.75">
      <c r="A129" s="147">
        <v>40360</v>
      </c>
      <c r="B129" s="44">
        <v>12500000</v>
      </c>
      <c r="C129" s="44">
        <f t="shared" si="2"/>
        <v>9277244.01505043</v>
      </c>
      <c r="D129" s="151">
        <f t="shared" si="3"/>
        <v>937332650.3405833</v>
      </c>
    </row>
    <row r="130" spans="1:4" ht="12.75">
      <c r="A130" s="147">
        <v>40391</v>
      </c>
      <c r="B130" s="44">
        <v>12500000</v>
      </c>
      <c r="C130" s="44">
        <f t="shared" si="2"/>
        <v>9245456.101789534</v>
      </c>
      <c r="D130" s="151">
        <f t="shared" si="3"/>
        <v>934078106.4423728</v>
      </c>
    </row>
    <row r="131" spans="1:4" ht="12.75">
      <c r="A131" s="147">
        <v>40422</v>
      </c>
      <c r="B131" s="44">
        <v>12500000</v>
      </c>
      <c r="C131" s="44">
        <f t="shared" si="2"/>
        <v>9213354.645885572</v>
      </c>
      <c r="D131" s="151">
        <f t="shared" si="3"/>
        <v>930791461.0882584</v>
      </c>
    </row>
    <row r="132" spans="1:4" ht="12.75">
      <c r="A132" s="147">
        <v>40452</v>
      </c>
      <c r="B132" s="44">
        <v>12500000</v>
      </c>
      <c r="C132" s="44">
        <f t="shared" si="2"/>
        <v>9180936.554685427</v>
      </c>
      <c r="D132" s="151">
        <f t="shared" si="3"/>
        <v>927472397.6429439</v>
      </c>
    </row>
    <row r="133" spans="1:4" ht="12.75">
      <c r="A133" s="147">
        <v>40483</v>
      </c>
      <c r="B133" s="44">
        <v>12500000</v>
      </c>
      <c r="C133" s="44">
        <f t="shared" si="2"/>
        <v>9148198.705031347</v>
      </c>
      <c r="D133" s="151">
        <f t="shared" si="3"/>
        <v>924120596.3479753</v>
      </c>
    </row>
    <row r="134" spans="1:4" ht="12.75">
      <c r="A134" s="147">
        <v>40513</v>
      </c>
      <c r="B134" s="44">
        <v>12500000</v>
      </c>
      <c r="C134" s="44">
        <f t="shared" si="2"/>
        <v>9115137.942960065</v>
      </c>
      <c r="D134" s="151">
        <f t="shared" si="3"/>
        <v>920735734.2909353</v>
      </c>
    </row>
    <row r="135" spans="1:4" ht="12.75">
      <c r="A135" s="147">
        <v>40544</v>
      </c>
      <c r="B135" s="44">
        <v>12500000</v>
      </c>
      <c r="C135" s="44">
        <f t="shared" si="2"/>
        <v>9081751.083398942</v>
      </c>
      <c r="D135" s="151">
        <f t="shared" si="3"/>
        <v>917317485.3743342</v>
      </c>
    </row>
    <row r="136" spans="1:4" ht="12.75">
      <c r="A136" s="147">
        <v>40575</v>
      </c>
      <c r="B136" s="44">
        <v>12500000</v>
      </c>
      <c r="C136" s="44">
        <f t="shared" si="2"/>
        <v>9048034.90985912</v>
      </c>
      <c r="D136" s="151">
        <f t="shared" si="3"/>
        <v>913865520.2841933</v>
      </c>
    </row>
    <row r="137" spans="1:4" ht="12.75">
      <c r="A137" s="147">
        <v>40603</v>
      </c>
      <c r="B137" s="44">
        <v>12500000</v>
      </c>
      <c r="C137" s="44">
        <f t="shared" si="2"/>
        <v>9013986.174125642</v>
      </c>
      <c r="D137" s="151">
        <f t="shared" si="3"/>
        <v>910379506.458319</v>
      </c>
    </row>
    <row r="138" spans="1:4" ht="12.75">
      <c r="A138" s="147">
        <v>40634</v>
      </c>
      <c r="B138" s="44">
        <v>12500000</v>
      </c>
      <c r="C138" s="44">
        <f t="shared" si="2"/>
        <v>8979601.595944522</v>
      </c>
      <c r="D138" s="151">
        <f t="shared" si="3"/>
        <v>906859108.0542635</v>
      </c>
    </row>
    <row r="139" spans="1:4" ht="12.75">
      <c r="A139" s="147">
        <v>40664</v>
      </c>
      <c r="B139" s="44">
        <v>12500000</v>
      </c>
      <c r="C139" s="44">
        <f t="shared" si="2"/>
        <v>8944877.862706723</v>
      </c>
      <c r="D139" s="151">
        <f t="shared" si="3"/>
        <v>903303985.9169703</v>
      </c>
    </row>
    <row r="140" spans="1:4" ht="12.75">
      <c r="A140" s="147">
        <v>40695</v>
      </c>
      <c r="B140" s="44">
        <v>12500000</v>
      </c>
      <c r="C140" s="44">
        <f t="shared" si="2"/>
        <v>8909811.629129026</v>
      </c>
      <c r="D140" s="151">
        <f t="shared" si="3"/>
        <v>899713797.5460993</v>
      </c>
    </row>
    <row r="141" spans="1:4" ht="12.75">
      <c r="A141" s="147">
        <v>40725</v>
      </c>
      <c r="B141" s="44">
        <v>12500000</v>
      </c>
      <c r="C141" s="44">
        <f t="shared" si="2"/>
        <v>8874399.516931737</v>
      </c>
      <c r="D141" s="151">
        <f t="shared" si="3"/>
        <v>896088197.0630311</v>
      </c>
    </row>
    <row r="142" spans="1:4" ht="12.75">
      <c r="A142" s="147">
        <v>40756</v>
      </c>
      <c r="B142" s="44">
        <v>12500000</v>
      </c>
      <c r="C142" s="44">
        <f t="shared" si="2"/>
        <v>8838638.114513231</v>
      </c>
      <c r="D142" s="151">
        <f t="shared" si="3"/>
        <v>892426835.1775444</v>
      </c>
    </row>
    <row r="143" spans="1:4" ht="12.75">
      <c r="A143" s="147">
        <v>40787</v>
      </c>
      <c r="B143" s="44">
        <v>12500000</v>
      </c>
      <c r="C143" s="44">
        <f t="shared" si="2"/>
        <v>8802523.976621276</v>
      </c>
      <c r="D143" s="151">
        <f t="shared" si="3"/>
        <v>888729359.1541656</v>
      </c>
    </row>
    <row r="144" spans="1:4" ht="12.75">
      <c r="A144" s="147">
        <v>40817</v>
      </c>
      <c r="B144" s="44">
        <v>12500000</v>
      </c>
      <c r="C144" s="44">
        <f t="shared" si="2"/>
        <v>8766053.624021111</v>
      </c>
      <c r="D144" s="151">
        <f t="shared" si="3"/>
        <v>884995412.7781867</v>
      </c>
    </row>
    <row r="145" spans="1:4" ht="12.75">
      <c r="A145" s="147">
        <v>40848</v>
      </c>
      <c r="B145" s="44">
        <v>12500000</v>
      </c>
      <c r="C145" s="44">
        <f t="shared" si="2"/>
        <v>8729223.54316027</v>
      </c>
      <c r="D145" s="151">
        <f t="shared" si="3"/>
        <v>881224636.321347</v>
      </c>
    </row>
    <row r="146" spans="1:4" ht="12.75">
      <c r="A146" s="147">
        <v>40878</v>
      </c>
      <c r="B146" s="44">
        <v>12500000</v>
      </c>
      <c r="C146" s="44">
        <f t="shared" si="2"/>
        <v>8692030.185830079</v>
      </c>
      <c r="D146" s="151">
        <f t="shared" si="3"/>
        <v>877416666.5071771</v>
      </c>
    </row>
    <row r="147" spans="1:4" ht="12.75">
      <c r="A147" s="147">
        <v>40909</v>
      </c>
      <c r="B147" s="44">
        <v>12500000</v>
      </c>
      <c r="C147" s="44">
        <f t="shared" si="2"/>
        <v>8654469.968823817</v>
      </c>
      <c r="D147" s="151">
        <f t="shared" si="3"/>
        <v>873571136.4760009</v>
      </c>
    </row>
    <row r="148" spans="1:4" ht="12.75">
      <c r="A148" s="147">
        <v>40940</v>
      </c>
      <c r="B148" s="44">
        <v>12500000</v>
      </c>
      <c r="C148" s="44">
        <f t="shared" si="2"/>
        <v>8616539.273591517</v>
      </c>
      <c r="D148" s="151">
        <f t="shared" si="3"/>
        <v>869687675.7495924</v>
      </c>
    </row>
    <row r="149" spans="1:4" ht="12.75">
      <c r="A149" s="147">
        <v>40969</v>
      </c>
      <c r="B149" s="44">
        <v>12500000</v>
      </c>
      <c r="C149" s="44">
        <f t="shared" si="2"/>
        <v>8578234.445891352</v>
      </c>
      <c r="D149" s="151">
        <f t="shared" si="3"/>
        <v>865765910.1954838</v>
      </c>
    </row>
    <row r="150" spans="1:4" ht="12.75">
      <c r="A150" s="147">
        <v>41000</v>
      </c>
      <c r="B150" s="44">
        <v>12500000</v>
      </c>
      <c r="C150" s="44">
        <f t="shared" si="2"/>
        <v>8539551.795437593</v>
      </c>
      <c r="D150" s="151">
        <f t="shared" si="3"/>
        <v>861805461.9909214</v>
      </c>
    </row>
    <row r="151" spans="1:4" ht="12.75">
      <c r="A151" s="147">
        <v>41030</v>
      </c>
      <c r="B151" s="44">
        <v>12500000</v>
      </c>
      <c r="C151" s="44">
        <f t="shared" si="2"/>
        <v>8500487.59554507</v>
      </c>
      <c r="D151" s="151">
        <f t="shared" si="3"/>
        <v>857805949.5864664</v>
      </c>
    </row>
    <row r="152" spans="1:4" ht="12.75">
      <c r="A152" s="147">
        <v>41061</v>
      </c>
      <c r="B152" s="44">
        <v>12500000</v>
      </c>
      <c r="C152" s="44">
        <f aca="true" t="shared" si="4" ref="C152:C215">+D151*$E$80</f>
        <v>8461038.08277016</v>
      </c>
      <c r="D152" s="151">
        <f aca="true" t="shared" si="5" ref="D152:D215">+D151+C152-B152</f>
        <v>853766987.6692365</v>
      </c>
    </row>
    <row r="153" spans="1:4" ht="12.75">
      <c r="A153" s="147">
        <v>41091</v>
      </c>
      <c r="B153" s="44">
        <v>12500000</v>
      </c>
      <c r="C153" s="44">
        <f t="shared" si="4"/>
        <v>8421199.45654821</v>
      </c>
      <c r="D153" s="151">
        <f t="shared" si="5"/>
        <v>849688187.1257848</v>
      </c>
    </row>
    <row r="154" spans="1:4" ht="12.75">
      <c r="A154" s="147">
        <v>41122</v>
      </c>
      <c r="B154" s="44">
        <v>12500000</v>
      </c>
      <c r="C154" s="44">
        <f t="shared" si="4"/>
        <v>8380967.87882739</v>
      </c>
      <c r="D154" s="151">
        <f t="shared" si="5"/>
        <v>845569155.0046121</v>
      </c>
    </row>
    <row r="155" spans="1:4" ht="12.75">
      <c r="A155" s="147">
        <v>41153</v>
      </c>
      <c r="B155" s="44">
        <v>12500000</v>
      </c>
      <c r="C155" s="44">
        <f t="shared" si="4"/>
        <v>8340339.473698938</v>
      </c>
      <c r="D155" s="151">
        <f t="shared" si="5"/>
        <v>841409494.4783111</v>
      </c>
    </row>
    <row r="156" spans="1:4" ht="12.75">
      <c r="A156" s="147">
        <v>41183</v>
      </c>
      <c r="B156" s="44">
        <v>12500000</v>
      </c>
      <c r="C156" s="44">
        <f t="shared" si="4"/>
        <v>8299310.327023754</v>
      </c>
      <c r="D156" s="151">
        <f t="shared" si="5"/>
        <v>837208804.8053348</v>
      </c>
    </row>
    <row r="157" spans="1:4" ht="12.75">
      <c r="A157" s="147">
        <v>41214</v>
      </c>
      <c r="B157" s="44">
        <v>12500000</v>
      </c>
      <c r="C157" s="44">
        <f t="shared" si="4"/>
        <v>8257876.486055309</v>
      </c>
      <c r="D157" s="151">
        <f t="shared" si="5"/>
        <v>832966681.2913901</v>
      </c>
    </row>
    <row r="158" spans="1:4" ht="12.75">
      <c r="A158" s="147">
        <v>41244</v>
      </c>
      <c r="B158" s="44">
        <v>12500000</v>
      </c>
      <c r="C158" s="44">
        <f t="shared" si="4"/>
        <v>8216033.959058843</v>
      </c>
      <c r="D158" s="151">
        <f t="shared" si="5"/>
        <v>828682715.250449</v>
      </c>
    </row>
    <row r="159" spans="1:4" ht="12.75">
      <c r="A159" s="147">
        <v>41275</v>
      </c>
      <c r="B159" s="44">
        <v>12500000</v>
      </c>
      <c r="C159" s="44">
        <f t="shared" si="4"/>
        <v>8173778.714926798</v>
      </c>
      <c r="D159" s="151">
        <f t="shared" si="5"/>
        <v>824356493.9653758</v>
      </c>
    </row>
    <row r="160" spans="1:4" ht="12.75">
      <c r="A160" s="147">
        <v>41306</v>
      </c>
      <c r="B160" s="44">
        <v>12500000</v>
      </c>
      <c r="C160" s="44">
        <f t="shared" si="4"/>
        <v>8131106.68279046</v>
      </c>
      <c r="D160" s="151">
        <f t="shared" si="5"/>
        <v>819987600.6481663</v>
      </c>
    </row>
    <row r="161" spans="1:4" ht="12.75">
      <c r="A161" s="147">
        <v>41334</v>
      </c>
      <c r="B161" s="44">
        <v>12500000</v>
      </c>
      <c r="C161" s="44">
        <f t="shared" si="4"/>
        <v>8088013.751627778</v>
      </c>
      <c r="D161" s="151">
        <f t="shared" si="5"/>
        <v>815575614.3997941</v>
      </c>
    </row>
    <row r="162" spans="1:4" ht="12.75">
      <c r="A162" s="147">
        <v>41365</v>
      </c>
      <c r="B162" s="44">
        <v>12500000</v>
      </c>
      <c r="C162" s="44">
        <f t="shared" si="4"/>
        <v>8044495.769867297</v>
      </c>
      <c r="D162" s="151">
        <f t="shared" si="5"/>
        <v>811120110.1696614</v>
      </c>
    </row>
    <row r="163" spans="1:4" ht="12.75">
      <c r="A163" s="147">
        <v>41395</v>
      </c>
      <c r="B163" s="44">
        <v>12500000</v>
      </c>
      <c r="C163" s="44">
        <f t="shared" si="4"/>
        <v>8000548.544988208</v>
      </c>
      <c r="D163" s="151">
        <f t="shared" si="5"/>
        <v>806620658.7146496</v>
      </c>
    </row>
    <row r="164" spans="1:4" ht="12.75">
      <c r="A164" s="147">
        <v>41426</v>
      </c>
      <c r="B164" s="44">
        <v>12500000</v>
      </c>
      <c r="C164" s="44">
        <f t="shared" si="4"/>
        <v>7956167.843116435</v>
      </c>
      <c r="D164" s="151">
        <f t="shared" si="5"/>
        <v>802076826.557766</v>
      </c>
    </row>
    <row r="165" spans="1:4" ht="12.75">
      <c r="A165" s="147">
        <v>41456</v>
      </c>
      <c r="B165" s="44">
        <v>12500000</v>
      </c>
      <c r="C165" s="44">
        <f t="shared" si="4"/>
        <v>7911349.388616741</v>
      </c>
      <c r="D165" s="151">
        <f t="shared" si="5"/>
        <v>797488175.9463828</v>
      </c>
    </row>
    <row r="166" spans="1:4" ht="12.75">
      <c r="A166" s="147">
        <v>41487</v>
      </c>
      <c r="B166" s="44">
        <v>12500000</v>
      </c>
      <c r="C166" s="44">
        <f t="shared" si="4"/>
        <v>7866088.86368082</v>
      </c>
      <c r="D166" s="151">
        <f t="shared" si="5"/>
        <v>792854264.8100636</v>
      </c>
    </row>
    <row r="167" spans="1:4" ht="12.75">
      <c r="A167" s="147">
        <v>41518</v>
      </c>
      <c r="B167" s="44">
        <v>12500000</v>
      </c>
      <c r="C167" s="44">
        <f t="shared" si="4"/>
        <v>7820381.907911312</v>
      </c>
      <c r="D167" s="151">
        <f t="shared" si="5"/>
        <v>788174646.7179749</v>
      </c>
    </row>
    <row r="168" spans="1:4" ht="12.75">
      <c r="A168" s="147">
        <v>41548</v>
      </c>
      <c r="B168" s="44">
        <v>12500000</v>
      </c>
      <c r="C168" s="44">
        <f t="shared" si="4"/>
        <v>7774224.117901729</v>
      </c>
      <c r="D168" s="151">
        <f t="shared" si="5"/>
        <v>783448870.8358766</v>
      </c>
    </row>
    <row r="169" spans="1:4" ht="12.75">
      <c r="A169" s="147">
        <v>41579</v>
      </c>
      <c r="B169" s="44">
        <v>12500000</v>
      </c>
      <c r="C169" s="44">
        <f t="shared" si="4"/>
        <v>7727611.046812229</v>
      </c>
      <c r="D169" s="151">
        <f t="shared" si="5"/>
        <v>778676481.8826888</v>
      </c>
    </row>
    <row r="170" spans="1:4" ht="12.75">
      <c r="A170" s="147">
        <v>41609</v>
      </c>
      <c r="B170" s="44">
        <v>12500000</v>
      </c>
      <c r="C170" s="44">
        <f t="shared" si="4"/>
        <v>7680538.203941205</v>
      </c>
      <c r="D170" s="151">
        <f t="shared" si="5"/>
        <v>773857020.08663</v>
      </c>
    </row>
    <row r="171" spans="1:4" ht="12.75">
      <c r="A171" s="147">
        <v>41640</v>
      </c>
      <c r="B171" s="44">
        <v>12500000</v>
      </c>
      <c r="C171" s="44">
        <f t="shared" si="4"/>
        <v>7633001.054292654</v>
      </c>
      <c r="D171" s="151">
        <f t="shared" si="5"/>
        <v>768990021.1409227</v>
      </c>
    </row>
    <row r="172" spans="1:4" ht="12.75">
      <c r="A172" s="147">
        <v>41671</v>
      </c>
      <c r="B172" s="44">
        <v>12500000</v>
      </c>
      <c r="C172" s="44">
        <f t="shared" si="4"/>
        <v>7584995.018139274</v>
      </c>
      <c r="D172" s="151">
        <f t="shared" si="5"/>
        <v>764075016.1590619</v>
      </c>
    </row>
    <row r="173" spans="1:4" ht="12.75">
      <c r="A173" s="147">
        <v>41699</v>
      </c>
      <c r="B173" s="44">
        <v>12500000</v>
      </c>
      <c r="C173" s="44">
        <f t="shared" si="4"/>
        <v>7536515.470581255</v>
      </c>
      <c r="D173" s="151">
        <f t="shared" si="5"/>
        <v>759111531.6296432</v>
      </c>
    </row>
    <row r="174" spans="1:4" ht="12.75">
      <c r="A174" s="147">
        <v>41730</v>
      </c>
      <c r="B174" s="44">
        <v>12500000</v>
      </c>
      <c r="C174" s="44">
        <f t="shared" si="4"/>
        <v>7487557.741100715</v>
      </c>
      <c r="D174" s="151">
        <f t="shared" si="5"/>
        <v>754099089.3707439</v>
      </c>
    </row>
    <row r="175" spans="1:4" ht="12.75">
      <c r="A175" s="147">
        <v>41760</v>
      </c>
      <c r="B175" s="44">
        <v>12500000</v>
      </c>
      <c r="C175" s="44">
        <f t="shared" si="4"/>
        <v>7438117.11311174</v>
      </c>
      <c r="D175" s="151">
        <f t="shared" si="5"/>
        <v>749037206.4838556</v>
      </c>
    </row>
    <row r="176" spans="1:4" ht="12.75">
      <c r="A176" s="147">
        <v>41791</v>
      </c>
      <c r="B176" s="44">
        <v>12500000</v>
      </c>
      <c r="C176" s="44">
        <f t="shared" si="4"/>
        <v>7388188.823505995</v>
      </c>
      <c r="D176" s="151">
        <f t="shared" si="5"/>
        <v>743925395.3073616</v>
      </c>
    </row>
    <row r="177" spans="1:4" ht="12.75">
      <c r="A177" s="147">
        <v>41821</v>
      </c>
      <c r="B177" s="44">
        <v>12500000</v>
      </c>
      <c r="C177" s="44">
        <f t="shared" si="4"/>
        <v>7337768.06219384</v>
      </c>
      <c r="D177" s="151">
        <f t="shared" si="5"/>
        <v>738763163.3695555</v>
      </c>
    </row>
    <row r="178" spans="1:4" ht="12.75">
      <c r="A178" s="147">
        <v>41852</v>
      </c>
      <c r="B178" s="44">
        <v>12500000</v>
      </c>
      <c r="C178" s="44">
        <f t="shared" si="4"/>
        <v>7286849.971640928</v>
      </c>
      <c r="D178" s="151">
        <f t="shared" si="5"/>
        <v>733550013.3411964</v>
      </c>
    </row>
    <row r="179" spans="1:4" ht="12.75">
      <c r="A179" s="147">
        <v>41883</v>
      </c>
      <c r="B179" s="44">
        <v>12500000</v>
      </c>
      <c r="C179" s="44">
        <f t="shared" si="4"/>
        <v>7235429.646400232</v>
      </c>
      <c r="D179" s="151">
        <f t="shared" si="5"/>
        <v>728285442.9875966</v>
      </c>
    </row>
    <row r="180" spans="1:4" ht="12.75">
      <c r="A180" s="147">
        <v>41913</v>
      </c>
      <c r="B180" s="44">
        <v>12500000</v>
      </c>
      <c r="C180" s="44">
        <f t="shared" si="4"/>
        <v>7183502.132639451</v>
      </c>
      <c r="D180" s="151">
        <f t="shared" si="5"/>
        <v>722968945.120236</v>
      </c>
    </row>
    <row r="181" spans="1:4" ht="12.75">
      <c r="A181" s="147">
        <v>41944</v>
      </c>
      <c r="B181" s="44">
        <v>12500000</v>
      </c>
      <c r="C181" s="44">
        <f t="shared" si="4"/>
        <v>7131062.427663763</v>
      </c>
      <c r="D181" s="151">
        <f t="shared" si="5"/>
        <v>717600007.5478998</v>
      </c>
    </row>
    <row r="182" spans="1:4" ht="12.75">
      <c r="A182" s="149">
        <v>41974</v>
      </c>
      <c r="B182" s="150">
        <v>12500000</v>
      </c>
      <c r="C182" s="150">
        <f t="shared" si="4"/>
        <v>7078105.479433862</v>
      </c>
      <c r="D182" s="152">
        <f t="shared" si="5"/>
        <v>712178113.0273337</v>
      </c>
    </row>
    <row r="183" spans="1:7" ht="12.75">
      <c r="A183" s="147">
        <v>42005</v>
      </c>
      <c r="B183" s="44">
        <v>12500000</v>
      </c>
      <c r="C183" s="44">
        <f t="shared" si="4"/>
        <v>7024626.186079242</v>
      </c>
      <c r="D183" s="151">
        <f t="shared" si="5"/>
        <v>706702739.213413</v>
      </c>
      <c r="F183" s="143" t="s">
        <v>98</v>
      </c>
      <c r="G183" s="143" t="s">
        <v>225</v>
      </c>
    </row>
    <row r="184" spans="1:7" ht="12.75">
      <c r="A184" s="147">
        <v>42036</v>
      </c>
      <c r="B184" s="44">
        <v>12500000</v>
      </c>
      <c r="C184" s="44">
        <f t="shared" si="4"/>
        <v>6970619.39540669</v>
      </c>
      <c r="D184" s="151">
        <f t="shared" si="5"/>
        <v>701173358.6088197</v>
      </c>
      <c r="F184" s="151">
        <f>SUM(B183:B194)</f>
        <v>150000000</v>
      </c>
      <c r="G184" s="151">
        <f>SUM(B195:B206)</f>
        <v>150000000</v>
      </c>
    </row>
    <row r="185" spans="1:7" ht="12.75">
      <c r="A185" s="147">
        <v>42064</v>
      </c>
      <c r="B185" s="44">
        <v>12500000</v>
      </c>
      <c r="C185" s="44">
        <f t="shared" si="4"/>
        <v>6916079.904403919</v>
      </c>
      <c r="D185" s="151">
        <f t="shared" si="5"/>
        <v>695589438.5132236</v>
      </c>
      <c r="F185" s="151">
        <f>SUM(C183:C194)</f>
        <v>80611229.55829178</v>
      </c>
      <c r="G185" s="151">
        <f>SUM(C195:C206)</f>
        <v>71937633.25307833</v>
      </c>
    </row>
    <row r="186" spans="1:4" ht="12.75">
      <c r="A186" s="147">
        <v>42095</v>
      </c>
      <c r="B186" s="44">
        <v>12500000</v>
      </c>
      <c r="C186" s="44">
        <f t="shared" si="4"/>
        <v>6861002.458738311</v>
      </c>
      <c r="D186" s="151">
        <f t="shared" si="5"/>
        <v>689950440.971962</v>
      </c>
    </row>
    <row r="187" spans="1:4" ht="12.75">
      <c r="A187" s="147">
        <v>42125</v>
      </c>
      <c r="B187" s="44">
        <v>12500000</v>
      </c>
      <c r="C187" s="44">
        <f t="shared" si="4"/>
        <v>6805381.752250715</v>
      </c>
      <c r="D187" s="151">
        <f t="shared" si="5"/>
        <v>684255822.7242126</v>
      </c>
    </row>
    <row r="188" spans="1:4" ht="12.75">
      <c r="A188" s="147">
        <v>42156</v>
      </c>
      <c r="B188" s="44">
        <v>12500000</v>
      </c>
      <c r="C188" s="44">
        <f t="shared" si="4"/>
        <v>6749212.426444252</v>
      </c>
      <c r="D188" s="151">
        <f t="shared" si="5"/>
        <v>678505035.1506569</v>
      </c>
    </row>
    <row r="189" spans="1:4" ht="12.75">
      <c r="A189" s="147">
        <v>42186</v>
      </c>
      <c r="B189" s="44">
        <v>12500000</v>
      </c>
      <c r="C189" s="44">
        <f t="shared" si="4"/>
        <v>6692489.069968077</v>
      </c>
      <c r="D189" s="151">
        <f t="shared" si="5"/>
        <v>672697524.220625</v>
      </c>
    </row>
    <row r="190" spans="1:4" ht="12.75">
      <c r="A190" s="147">
        <v>42217</v>
      </c>
      <c r="B190" s="44">
        <v>12500000</v>
      </c>
      <c r="C190" s="44">
        <f t="shared" si="4"/>
        <v>6635206.218096052</v>
      </c>
      <c r="D190" s="151">
        <f t="shared" si="5"/>
        <v>666832730.4387211</v>
      </c>
    </row>
    <row r="191" spans="1:4" ht="12.75">
      <c r="A191" s="147">
        <v>42248</v>
      </c>
      <c r="B191" s="44">
        <v>12500000</v>
      </c>
      <c r="C191" s="44">
        <f t="shared" si="4"/>
        <v>6577358.352200269</v>
      </c>
      <c r="D191" s="151">
        <f t="shared" si="5"/>
        <v>660910088.7909213</v>
      </c>
    </row>
    <row r="192" spans="1:4" ht="12.75">
      <c r="A192" s="147">
        <v>42278</v>
      </c>
      <c r="B192" s="44">
        <v>12500000</v>
      </c>
      <c r="C192" s="44">
        <f t="shared" si="4"/>
        <v>6518939.899219391</v>
      </c>
      <c r="D192" s="151">
        <f t="shared" si="5"/>
        <v>654929028.6901407</v>
      </c>
    </row>
    <row r="193" spans="1:4" ht="12.75">
      <c r="A193" s="147">
        <v>42309</v>
      </c>
      <c r="B193" s="44">
        <v>12500000</v>
      </c>
      <c r="C193" s="44">
        <f t="shared" si="4"/>
        <v>6459945.231121742</v>
      </c>
      <c r="D193" s="151">
        <f t="shared" si="5"/>
        <v>648888973.9212625</v>
      </c>
    </row>
    <row r="194" spans="1:4" ht="12.75">
      <c r="A194" s="147">
        <v>42339</v>
      </c>
      <c r="B194" s="44">
        <v>12500000</v>
      </c>
      <c r="C194" s="44">
        <f t="shared" si="4"/>
        <v>6400368.664363103</v>
      </c>
      <c r="D194" s="151">
        <f t="shared" si="5"/>
        <v>642789342.5856256</v>
      </c>
    </row>
    <row r="195" spans="1:4" ht="12.75">
      <c r="A195" s="147">
        <v>42370</v>
      </c>
      <c r="B195" s="44">
        <v>12500000</v>
      </c>
      <c r="C195" s="44">
        <f t="shared" si="4"/>
        <v>6340204.459339156</v>
      </c>
      <c r="D195" s="151">
        <f t="shared" si="5"/>
        <v>636629547.0449648</v>
      </c>
    </row>
    <row r="196" spans="1:4" ht="12.75">
      <c r="A196" s="147">
        <v>42401</v>
      </c>
      <c r="B196" s="44">
        <v>12500000</v>
      </c>
      <c r="C196" s="44">
        <f t="shared" si="4"/>
        <v>6279446.8198325345</v>
      </c>
      <c r="D196" s="151">
        <f t="shared" si="5"/>
        <v>630408993.8647974</v>
      </c>
    </row>
    <row r="197" spans="1:4" ht="12.75">
      <c r="A197" s="147">
        <v>42430</v>
      </c>
      <c r="B197" s="44">
        <v>12500000</v>
      </c>
      <c r="C197" s="44">
        <f t="shared" si="4"/>
        <v>6218089.892454417</v>
      </c>
      <c r="D197" s="151">
        <f t="shared" si="5"/>
        <v>624127083.7572517</v>
      </c>
    </row>
    <row r="198" spans="1:4" ht="12.75">
      <c r="A198" s="147">
        <v>42461</v>
      </c>
      <c r="B198" s="44">
        <v>12500000</v>
      </c>
      <c r="C198" s="44">
        <f t="shared" si="4"/>
        <v>6156127.766080608</v>
      </c>
      <c r="D198" s="151">
        <f t="shared" si="5"/>
        <v>617783211.5233324</v>
      </c>
    </row>
    <row r="199" spans="1:4" ht="12.75">
      <c r="A199" s="147">
        <v>42491</v>
      </c>
      <c r="B199" s="44">
        <v>12500000</v>
      </c>
      <c r="C199" s="44">
        <f t="shared" si="4"/>
        <v>6093554.471282063</v>
      </c>
      <c r="D199" s="151">
        <f t="shared" si="5"/>
        <v>611376765.9946144</v>
      </c>
    </row>
    <row r="200" spans="1:4" ht="12.75">
      <c r="A200" s="147">
        <v>42522</v>
      </c>
      <c r="B200" s="44">
        <v>12500000</v>
      </c>
      <c r="C200" s="44">
        <f t="shared" si="4"/>
        <v>6030363.979749791</v>
      </c>
      <c r="D200" s="151">
        <f t="shared" si="5"/>
        <v>604907129.9743642</v>
      </c>
    </row>
    <row r="201" spans="1:4" ht="12.75">
      <c r="A201" s="147">
        <v>42552</v>
      </c>
      <c r="B201" s="44">
        <v>12500000</v>
      </c>
      <c r="C201" s="44">
        <f t="shared" si="4"/>
        <v>5966550.203714095</v>
      </c>
      <c r="D201" s="151">
        <f t="shared" si="5"/>
        <v>598373680.1780783</v>
      </c>
    </row>
    <row r="202" spans="1:4" ht="12.75">
      <c r="A202" s="147">
        <v>42583</v>
      </c>
      <c r="B202" s="44">
        <v>12500000</v>
      </c>
      <c r="C202" s="44">
        <f t="shared" si="4"/>
        <v>5902106.995358067</v>
      </c>
      <c r="D202" s="151">
        <f t="shared" si="5"/>
        <v>591775787.1734364</v>
      </c>
    </row>
    <row r="203" spans="1:4" ht="12.75">
      <c r="A203" s="147">
        <v>42614</v>
      </c>
      <c r="B203" s="44">
        <v>12500000</v>
      </c>
      <c r="C203" s="44">
        <f t="shared" si="4"/>
        <v>5837028.146225311</v>
      </c>
      <c r="D203" s="151">
        <f t="shared" si="5"/>
        <v>585112815.3196617</v>
      </c>
    </row>
    <row r="204" spans="1:4" ht="12.75">
      <c r="A204" s="147">
        <v>42644</v>
      </c>
      <c r="B204" s="44">
        <v>12500000</v>
      </c>
      <c r="C204" s="44">
        <f t="shared" si="4"/>
        <v>5771307.386621824</v>
      </c>
      <c r="D204" s="151">
        <f t="shared" si="5"/>
        <v>578384122.7062836</v>
      </c>
    </row>
    <row r="205" spans="1:4" ht="12.75">
      <c r="A205" s="147">
        <v>42675</v>
      </c>
      <c r="B205" s="44">
        <v>12500000</v>
      </c>
      <c r="C205" s="44">
        <f t="shared" si="4"/>
        <v>5704938.385011969</v>
      </c>
      <c r="D205" s="151">
        <f t="shared" si="5"/>
        <v>571589061.0912955</v>
      </c>
    </row>
    <row r="206" spans="1:4" ht="12.75">
      <c r="A206" s="147">
        <v>42705</v>
      </c>
      <c r="B206" s="44">
        <v>12500000</v>
      </c>
      <c r="C206" s="44">
        <f t="shared" si="4"/>
        <v>5637914.747408499</v>
      </c>
      <c r="D206" s="151">
        <f t="shared" si="5"/>
        <v>564726975.838704</v>
      </c>
    </row>
    <row r="207" spans="1:4" ht="12.75">
      <c r="A207" s="147">
        <v>42736</v>
      </c>
      <c r="B207" s="44">
        <v>12500000</v>
      </c>
      <c r="C207" s="44">
        <f t="shared" si="4"/>
        <v>5570230.016756559</v>
      </c>
      <c r="D207" s="151">
        <f t="shared" si="5"/>
        <v>557797205.8554605</v>
      </c>
    </row>
    <row r="208" spans="1:4" ht="12.75">
      <c r="A208" s="147">
        <v>42767</v>
      </c>
      <c r="B208" s="44">
        <v>12500000</v>
      </c>
      <c r="C208" s="44">
        <f t="shared" si="4"/>
        <v>5501877.67231161</v>
      </c>
      <c r="D208" s="151">
        <f t="shared" si="5"/>
        <v>550799083.5277722</v>
      </c>
    </row>
    <row r="209" spans="1:4" ht="12.75">
      <c r="A209" s="147">
        <v>42795</v>
      </c>
      <c r="B209" s="44">
        <v>12500000</v>
      </c>
      <c r="C209" s="44">
        <f t="shared" si="4"/>
        <v>5432851.129011228</v>
      </c>
      <c r="D209" s="151">
        <f t="shared" si="5"/>
        <v>543731934.6567835</v>
      </c>
    </row>
    <row r="210" spans="1:4" ht="12.75">
      <c r="A210" s="147">
        <v>42826</v>
      </c>
      <c r="B210" s="44">
        <v>12500000</v>
      </c>
      <c r="C210" s="44">
        <f t="shared" si="4"/>
        <v>5363143.736840693</v>
      </c>
      <c r="D210" s="151">
        <f t="shared" si="5"/>
        <v>536595078.3936242</v>
      </c>
    </row>
    <row r="211" spans="1:4" ht="12.75">
      <c r="A211" s="147">
        <v>42856</v>
      </c>
      <c r="B211" s="44">
        <v>12500000</v>
      </c>
      <c r="C211" s="44">
        <f t="shared" si="4"/>
        <v>5292748.7801923305</v>
      </c>
      <c r="D211" s="151">
        <f t="shared" si="5"/>
        <v>529387827.17381656</v>
      </c>
    </row>
    <row r="212" spans="1:4" ht="12.75">
      <c r="A212" s="147">
        <v>42887</v>
      </c>
      <c r="B212" s="44">
        <v>12500000</v>
      </c>
      <c r="C212" s="44">
        <f t="shared" si="4"/>
        <v>5221659.477218526</v>
      </c>
      <c r="D212" s="151">
        <f t="shared" si="5"/>
        <v>522109486.6510351</v>
      </c>
    </row>
    <row r="213" spans="1:4" ht="12.75">
      <c r="A213" s="147">
        <v>42917</v>
      </c>
      <c r="B213" s="44">
        <v>12500000</v>
      </c>
      <c r="C213" s="44">
        <f t="shared" si="4"/>
        <v>5149868.979178368</v>
      </c>
      <c r="D213" s="151">
        <f t="shared" si="5"/>
        <v>514759355.63021344</v>
      </c>
    </row>
    <row r="214" spans="1:4" ht="12.75">
      <c r="A214" s="147">
        <v>42948</v>
      </c>
      <c r="B214" s="44">
        <v>12500000</v>
      </c>
      <c r="C214" s="44">
        <f t="shared" si="4"/>
        <v>5077370.369777835</v>
      </c>
      <c r="D214" s="151">
        <f t="shared" si="5"/>
        <v>507336725.9999913</v>
      </c>
    </row>
    <row r="215" spans="1:4" ht="12.75">
      <c r="A215" s="147">
        <v>42979</v>
      </c>
      <c r="B215" s="44">
        <v>12500000</v>
      </c>
      <c r="C215" s="44">
        <f t="shared" si="4"/>
        <v>5004156.664503485</v>
      </c>
      <c r="D215" s="151">
        <f t="shared" si="5"/>
        <v>499840882.66449475</v>
      </c>
    </row>
    <row r="216" spans="1:4" ht="12.75">
      <c r="A216" s="147">
        <v>43009</v>
      </c>
      <c r="B216" s="44">
        <v>12500000</v>
      </c>
      <c r="C216" s="44">
        <f aca="true" t="shared" si="6" ref="C216:C266">+D215*$E$80</f>
        <v>4930220.809949561</v>
      </c>
      <c r="D216" s="151">
        <f aca="true" t="shared" si="7" ref="D216:D266">+D215+C216-B216</f>
        <v>492271103.4744443</v>
      </c>
    </row>
    <row r="217" spans="1:4" ht="12.75">
      <c r="A217" s="147">
        <v>43040</v>
      </c>
      <c r="B217" s="44">
        <v>12500000</v>
      </c>
      <c r="C217" s="44">
        <f t="shared" si="6"/>
        <v>4855555.683138475</v>
      </c>
      <c r="D217" s="151">
        <f t="shared" si="7"/>
        <v>484626659.1575828</v>
      </c>
    </row>
    <row r="218" spans="1:4" ht="12.75">
      <c r="A218" s="147">
        <v>43070</v>
      </c>
      <c r="B218" s="44">
        <v>12500000</v>
      </c>
      <c r="C218" s="44">
        <f t="shared" si="6"/>
        <v>4780154.090834572</v>
      </c>
      <c r="D218" s="151">
        <f t="shared" si="7"/>
        <v>476906813.2484174</v>
      </c>
    </row>
    <row r="219" spans="1:4" ht="12.75">
      <c r="A219" s="147">
        <v>43101</v>
      </c>
      <c r="B219" s="44">
        <v>12500000</v>
      </c>
      <c r="C219" s="44">
        <f t="shared" si="6"/>
        <v>4704008.768851139</v>
      </c>
      <c r="D219" s="151">
        <f t="shared" si="7"/>
        <v>469110822.01726854</v>
      </c>
    </row>
    <row r="220" spans="1:4" ht="12.75">
      <c r="A220" s="147">
        <v>43132</v>
      </c>
      <c r="B220" s="44">
        <v>12500000</v>
      </c>
      <c r="C220" s="44">
        <f t="shared" si="6"/>
        <v>4627112.381350572</v>
      </c>
      <c r="D220" s="151">
        <f t="shared" si="7"/>
        <v>461237934.3986191</v>
      </c>
    </row>
    <row r="221" spans="1:4" ht="12.75">
      <c r="A221" s="147">
        <v>43160</v>
      </c>
      <c r="B221" s="44">
        <v>12500000</v>
      </c>
      <c r="C221" s="44">
        <f t="shared" si="6"/>
        <v>4549457.5201376425</v>
      </c>
      <c r="D221" s="151">
        <f t="shared" si="7"/>
        <v>453287391.9187568</v>
      </c>
    </row>
    <row r="222" spans="1:4" ht="12.75">
      <c r="A222" s="147">
        <v>43191</v>
      </c>
      <c r="B222" s="44">
        <v>12500000</v>
      </c>
      <c r="C222" s="44">
        <f t="shared" si="6"/>
        <v>4471036.70394579</v>
      </c>
      <c r="D222" s="151">
        <f t="shared" si="7"/>
        <v>445258428.6227026</v>
      </c>
    </row>
    <row r="223" spans="1:4" ht="12.75">
      <c r="A223" s="147">
        <v>43221</v>
      </c>
      <c r="B223" s="44">
        <v>12500000</v>
      </c>
      <c r="C223" s="44">
        <f t="shared" si="6"/>
        <v>4391842.377716382</v>
      </c>
      <c r="D223" s="151">
        <f t="shared" si="7"/>
        <v>437150271.00041896</v>
      </c>
    </row>
    <row r="224" spans="1:4" ht="12.75">
      <c r="A224" s="147">
        <v>43252</v>
      </c>
      <c r="B224" s="44">
        <v>12500000</v>
      </c>
      <c r="C224" s="44">
        <f t="shared" si="6"/>
        <v>4311866.911870852</v>
      </c>
      <c r="D224" s="151">
        <f t="shared" si="7"/>
        <v>428962137.9122898</v>
      </c>
    </row>
    <row r="225" spans="1:4" ht="12.75">
      <c r="A225" s="147">
        <v>43282</v>
      </c>
      <c r="B225" s="44">
        <v>12500000</v>
      </c>
      <c r="C225" s="44">
        <f t="shared" si="6"/>
        <v>4231102.601575674</v>
      </c>
      <c r="D225" s="151">
        <f t="shared" si="7"/>
        <v>420693240.5138655</v>
      </c>
    </row>
    <row r="226" spans="1:4" ht="12.75">
      <c r="A226" s="147">
        <v>43313</v>
      </c>
      <c r="B226" s="44">
        <v>12500000</v>
      </c>
      <c r="C226" s="44">
        <f t="shared" si="6"/>
        <v>4149541.6660000747</v>
      </c>
      <c r="D226" s="151">
        <f t="shared" si="7"/>
        <v>412342782.17986554</v>
      </c>
    </row>
    <row r="227" spans="1:4" ht="12.75">
      <c r="A227" s="147">
        <v>43344</v>
      </c>
      <c r="B227" s="44">
        <v>12500000</v>
      </c>
      <c r="C227" s="44">
        <f t="shared" si="6"/>
        <v>4067176.2475664304</v>
      </c>
      <c r="D227" s="151">
        <f t="shared" si="7"/>
        <v>403909958.42743194</v>
      </c>
    </row>
    <row r="228" spans="1:4" ht="12.75">
      <c r="A228" s="147">
        <v>43374</v>
      </c>
      <c r="B228" s="44">
        <v>12500000</v>
      </c>
      <c r="C228" s="44">
        <f t="shared" si="6"/>
        <v>3983998.411193267</v>
      </c>
      <c r="D228" s="151">
        <f t="shared" si="7"/>
        <v>395393956.8386252</v>
      </c>
    </row>
    <row r="229" spans="1:4" ht="12.75">
      <c r="A229" s="147">
        <v>43405</v>
      </c>
      <c r="B229" s="44">
        <v>12500000</v>
      </c>
      <c r="C229" s="44">
        <f t="shared" si="6"/>
        <v>3900000.1435307944</v>
      </c>
      <c r="D229" s="151">
        <f t="shared" si="7"/>
        <v>386793956.982156</v>
      </c>
    </row>
    <row r="230" spans="1:4" ht="12.75">
      <c r="A230" s="147">
        <v>43435</v>
      </c>
      <c r="B230" s="44">
        <v>12500000</v>
      </c>
      <c r="C230" s="44">
        <f t="shared" si="6"/>
        <v>3815173.3521889034</v>
      </c>
      <c r="D230" s="151">
        <f t="shared" si="7"/>
        <v>378109130.33434486</v>
      </c>
    </row>
    <row r="231" spans="1:4" ht="12.75">
      <c r="A231" s="147">
        <v>43466</v>
      </c>
      <c r="B231" s="44">
        <v>12500000</v>
      </c>
      <c r="C231" s="44">
        <f t="shared" si="6"/>
        <v>3729509.864957541</v>
      </c>
      <c r="D231" s="151">
        <f t="shared" si="7"/>
        <v>369338640.19930243</v>
      </c>
    </row>
    <row r="232" spans="1:4" ht="12.75">
      <c r="A232" s="147">
        <v>43497</v>
      </c>
      <c r="B232" s="44">
        <v>12500000</v>
      </c>
      <c r="C232" s="44">
        <f t="shared" si="6"/>
        <v>3643001.4290194036</v>
      </c>
      <c r="D232" s="151">
        <f t="shared" si="7"/>
        <v>360481641.6283218</v>
      </c>
    </row>
    <row r="233" spans="1:4" ht="12.75">
      <c r="A233" s="147">
        <v>43525</v>
      </c>
      <c r="B233" s="44">
        <v>12500000</v>
      </c>
      <c r="C233" s="44">
        <f t="shared" si="6"/>
        <v>3555639.7101548575</v>
      </c>
      <c r="D233" s="151">
        <f t="shared" si="7"/>
        <v>351537281.33847666</v>
      </c>
    </row>
    <row r="234" spans="1:4" ht="12.75">
      <c r="A234" s="147">
        <v>43556</v>
      </c>
      <c r="B234" s="44">
        <v>12500000</v>
      </c>
      <c r="C234" s="44">
        <f t="shared" si="6"/>
        <v>3467416.291939024</v>
      </c>
      <c r="D234" s="151">
        <f t="shared" si="7"/>
        <v>342504697.6304157</v>
      </c>
    </row>
    <row r="235" spans="1:4" ht="12.75">
      <c r="A235" s="147">
        <v>43586</v>
      </c>
      <c r="B235" s="44">
        <v>12500000</v>
      </c>
      <c r="C235" s="44">
        <f t="shared" si="6"/>
        <v>3378322.674930939</v>
      </c>
      <c r="D235" s="151">
        <f t="shared" si="7"/>
        <v>333383020.3053466</v>
      </c>
    </row>
    <row r="236" spans="1:4" ht="12.75">
      <c r="A236" s="147">
        <v>43617</v>
      </c>
      <c r="B236" s="44">
        <v>12500000</v>
      </c>
      <c r="C236" s="44">
        <f t="shared" si="6"/>
        <v>3288350.275854718</v>
      </c>
      <c r="D236" s="151">
        <f t="shared" si="7"/>
        <v>324171370.5812013</v>
      </c>
    </row>
    <row r="237" spans="1:4" ht="12.75">
      <c r="A237" s="147">
        <v>43647</v>
      </c>
      <c r="B237" s="44">
        <v>12500000</v>
      </c>
      <c r="C237" s="44">
        <f t="shared" si="6"/>
        <v>3197490.426772643</v>
      </c>
      <c r="D237" s="151">
        <f t="shared" si="7"/>
        <v>314868861.00797397</v>
      </c>
    </row>
    <row r="238" spans="1:4" ht="12.75">
      <c r="A238" s="147">
        <v>43678</v>
      </c>
      <c r="B238" s="44">
        <v>12500000</v>
      </c>
      <c r="C238" s="44">
        <f t="shared" si="6"/>
        <v>3105734.374250094</v>
      </c>
      <c r="D238" s="151">
        <f t="shared" si="7"/>
        <v>305474595.3822241</v>
      </c>
    </row>
    <row r="239" spans="1:4" ht="12.75">
      <c r="A239" s="147">
        <v>43709</v>
      </c>
      <c r="B239" s="44">
        <v>12500000</v>
      </c>
      <c r="C239" s="44">
        <f t="shared" si="6"/>
        <v>3013073.2785122446</v>
      </c>
      <c r="D239" s="151">
        <f t="shared" si="7"/>
        <v>295987668.6607363</v>
      </c>
    </row>
    <row r="240" spans="1:4" ht="12.75">
      <c r="A240" s="147">
        <v>43739</v>
      </c>
      <c r="B240" s="44">
        <v>12500000</v>
      </c>
      <c r="C240" s="44">
        <f t="shared" si="6"/>
        <v>2919498.2125924355</v>
      </c>
      <c r="D240" s="151">
        <f t="shared" si="7"/>
        <v>286407166.87332875</v>
      </c>
    </row>
    <row r="241" spans="1:4" ht="12.75">
      <c r="A241" s="147">
        <v>43770</v>
      </c>
      <c r="B241" s="44">
        <v>12500000</v>
      </c>
      <c r="C241" s="44">
        <f t="shared" si="6"/>
        <v>2825000.161472155</v>
      </c>
      <c r="D241" s="151">
        <f t="shared" si="7"/>
        <v>276732167.0348009</v>
      </c>
    </row>
    <row r="242" spans="1:4" ht="12.75">
      <c r="A242" s="147">
        <v>43800</v>
      </c>
      <c r="B242" s="44">
        <v>12500000</v>
      </c>
      <c r="C242" s="44">
        <f t="shared" si="6"/>
        <v>2729570.0212125275</v>
      </c>
      <c r="D242" s="151">
        <f t="shared" si="7"/>
        <v>266961737.0560134</v>
      </c>
    </row>
    <row r="243" spans="1:4" ht="12.75">
      <c r="A243" s="147">
        <v>43831</v>
      </c>
      <c r="B243" s="44">
        <v>12500000</v>
      </c>
      <c r="C243" s="44">
        <f t="shared" si="6"/>
        <v>2633198.598077245</v>
      </c>
      <c r="D243" s="151">
        <f t="shared" si="7"/>
        <v>257094935.65409064</v>
      </c>
    </row>
    <row r="244" spans="1:4" ht="12.75">
      <c r="A244" s="147">
        <v>43862</v>
      </c>
      <c r="B244" s="44">
        <v>12500000</v>
      </c>
      <c r="C244" s="44">
        <f t="shared" si="6"/>
        <v>2535876.60764684</v>
      </c>
      <c r="D244" s="151">
        <f t="shared" si="7"/>
        <v>247130812.2617375</v>
      </c>
    </row>
    <row r="245" spans="1:4" ht="12.75">
      <c r="A245" s="147">
        <v>43891</v>
      </c>
      <c r="B245" s="44">
        <v>12500000</v>
      </c>
      <c r="C245" s="44">
        <f t="shared" si="6"/>
        <v>2437594.673924226</v>
      </c>
      <c r="D245" s="151">
        <f t="shared" si="7"/>
        <v>237068406.93566173</v>
      </c>
    </row>
    <row r="246" spans="1:4" ht="12.75">
      <c r="A246" s="147">
        <v>43922</v>
      </c>
      <c r="B246" s="44">
        <v>12500000</v>
      </c>
      <c r="C246" s="44">
        <f t="shared" si="6"/>
        <v>2338343.328431414</v>
      </c>
      <c r="D246" s="151">
        <f t="shared" si="7"/>
        <v>226906750.26409316</v>
      </c>
    </row>
    <row r="247" spans="1:4" ht="12.75">
      <c r="A247" s="147">
        <v>43952</v>
      </c>
      <c r="B247" s="44">
        <v>12500000</v>
      </c>
      <c r="C247" s="44">
        <f t="shared" si="6"/>
        <v>2238113.0092973183</v>
      </c>
      <c r="D247" s="151">
        <f t="shared" si="7"/>
        <v>216644863.27339047</v>
      </c>
    </row>
    <row r="248" spans="1:4" ht="12.75">
      <c r="A248" s="147">
        <v>43983</v>
      </c>
      <c r="B248" s="44">
        <v>12500000</v>
      </c>
      <c r="C248" s="44">
        <f t="shared" si="6"/>
        <v>2136894.06033657</v>
      </c>
      <c r="D248" s="151">
        <f t="shared" si="7"/>
        <v>206281757.33372703</v>
      </c>
    </row>
    <row r="249" spans="1:4" ht="12.75">
      <c r="A249" s="147">
        <v>44013</v>
      </c>
      <c r="B249" s="44">
        <v>12500000</v>
      </c>
      <c r="C249" s="44">
        <f t="shared" si="6"/>
        <v>2034676.7301192353</v>
      </c>
      <c r="D249" s="151">
        <f t="shared" si="7"/>
        <v>195816434.06384626</v>
      </c>
    </row>
    <row r="250" spans="1:4" ht="12.75">
      <c r="A250" s="147">
        <v>44044</v>
      </c>
      <c r="B250" s="44">
        <v>12500000</v>
      </c>
      <c r="C250" s="44">
        <f t="shared" si="6"/>
        <v>1931451.171031368</v>
      </c>
      <c r="D250" s="151">
        <f t="shared" si="7"/>
        <v>185247885.23487762</v>
      </c>
    </row>
    <row r="251" spans="1:4" ht="12.75">
      <c r="A251" s="147">
        <v>44075</v>
      </c>
      <c r="B251" s="44">
        <v>12500000</v>
      </c>
      <c r="C251" s="44">
        <f t="shared" si="6"/>
        <v>1827207.438326287</v>
      </c>
      <c r="D251" s="151">
        <f t="shared" si="7"/>
        <v>174575092.67320392</v>
      </c>
    </row>
    <row r="252" spans="1:4" ht="12.75">
      <c r="A252" s="147">
        <v>44105</v>
      </c>
      <c r="B252" s="44">
        <v>12500000</v>
      </c>
      <c r="C252" s="44">
        <f t="shared" si="6"/>
        <v>1721935.4891665026</v>
      </c>
      <c r="D252" s="151">
        <f t="shared" si="7"/>
        <v>163797028.1623704</v>
      </c>
    </row>
    <row r="253" spans="1:4" ht="12.75">
      <c r="A253" s="147">
        <v>44136</v>
      </c>
      <c r="B253" s="44">
        <v>12500000</v>
      </c>
      <c r="C253" s="44">
        <f t="shared" si="6"/>
        <v>1615625.1816561865</v>
      </c>
      <c r="D253" s="151">
        <f t="shared" si="7"/>
        <v>152912653.3440266</v>
      </c>
    </row>
    <row r="254" spans="1:4" ht="12.75">
      <c r="A254" s="147">
        <v>44166</v>
      </c>
      <c r="B254" s="44">
        <v>12500000</v>
      </c>
      <c r="C254" s="44">
        <f t="shared" si="6"/>
        <v>1508266.273864106</v>
      </c>
      <c r="D254" s="151">
        <f t="shared" si="7"/>
        <v>141920919.61789072</v>
      </c>
    </row>
    <row r="255" spans="1:4" ht="12.75">
      <c r="A255" s="147">
        <v>44197</v>
      </c>
      <c r="B255" s="44">
        <v>12500000</v>
      </c>
      <c r="C255" s="44">
        <f t="shared" si="6"/>
        <v>1399848.4228369135</v>
      </c>
      <c r="D255" s="151">
        <f t="shared" si="7"/>
        <v>130820768.04072762</v>
      </c>
    </row>
    <row r="256" spans="1:4" ht="12.75">
      <c r="A256" s="147">
        <v>44228</v>
      </c>
      <c r="B256" s="44">
        <v>12500000</v>
      </c>
      <c r="C256" s="44">
        <f t="shared" si="6"/>
        <v>1290361.1836027082</v>
      </c>
      <c r="D256" s="151">
        <f t="shared" si="7"/>
        <v>119611129.22433032</v>
      </c>
    </row>
    <row r="257" spans="1:4" ht="12.75">
      <c r="A257" s="147">
        <v>44256</v>
      </c>
      <c r="B257" s="44">
        <v>12500000</v>
      </c>
      <c r="C257" s="44">
        <f t="shared" si="6"/>
        <v>1179794.0081647674</v>
      </c>
      <c r="D257" s="151">
        <f t="shared" si="7"/>
        <v>108290923.23249508</v>
      </c>
    </row>
    <row r="258" spans="1:4" ht="12.75">
      <c r="A258" s="147">
        <v>44287</v>
      </c>
      <c r="B258" s="44">
        <v>12500000</v>
      </c>
      <c r="C258" s="44">
        <f t="shared" si="6"/>
        <v>1068136.2444853536</v>
      </c>
      <c r="D258" s="151">
        <f t="shared" si="7"/>
        <v>96859059.47698043</v>
      </c>
    </row>
    <row r="259" spans="1:4" ht="12.75">
      <c r="A259" s="147">
        <v>44317</v>
      </c>
      <c r="B259" s="44">
        <v>12500000</v>
      </c>
      <c r="C259" s="44">
        <f t="shared" si="6"/>
        <v>955377.1354594963</v>
      </c>
      <c r="D259" s="151">
        <f t="shared" si="7"/>
        <v>85314436.61243993</v>
      </c>
    </row>
    <row r="260" spans="1:4" ht="12.75">
      <c r="A260" s="147">
        <v>44348</v>
      </c>
      <c r="B260" s="44">
        <v>12500000</v>
      </c>
      <c r="C260" s="44">
        <f t="shared" si="6"/>
        <v>841505.8178786542</v>
      </c>
      <c r="D260" s="151">
        <f t="shared" si="7"/>
        <v>73655942.43031858</v>
      </c>
    </row>
    <row r="261" spans="1:4" ht="12.75">
      <c r="A261" s="147">
        <v>44378</v>
      </c>
      <c r="B261" s="44">
        <v>12500000</v>
      </c>
      <c r="C261" s="44">
        <f t="shared" si="6"/>
        <v>726511.3213841531</v>
      </c>
      <c r="D261" s="151">
        <f t="shared" si="7"/>
        <v>61882453.751702726</v>
      </c>
    </row>
    <row r="262" spans="1:4" ht="12.75">
      <c r="A262" s="147">
        <v>44409</v>
      </c>
      <c r="B262" s="44">
        <v>12500000</v>
      </c>
      <c r="C262" s="44">
        <f t="shared" si="6"/>
        <v>610382.5674103026</v>
      </c>
      <c r="D262" s="151">
        <f t="shared" si="7"/>
        <v>49992836.31911303</v>
      </c>
    </row>
    <row r="263" spans="1:4" ht="12.75">
      <c r="A263" s="147">
        <v>44440</v>
      </c>
      <c r="B263" s="44">
        <v>12500000</v>
      </c>
      <c r="C263" s="44">
        <f t="shared" si="6"/>
        <v>493108.3681170869</v>
      </c>
      <c r="D263" s="151">
        <f t="shared" si="7"/>
        <v>37985944.68723012</v>
      </c>
    </row>
    <row r="264" spans="1:4" ht="12.75">
      <c r="A264" s="147">
        <v>44470</v>
      </c>
      <c r="B264" s="44">
        <v>12500000</v>
      </c>
      <c r="C264" s="44">
        <f t="shared" si="6"/>
        <v>374677.42531232914</v>
      </c>
      <c r="D264" s="151">
        <f t="shared" si="7"/>
        <v>25860622.11254245</v>
      </c>
    </row>
    <row r="265" spans="1:4" ht="12.75">
      <c r="A265" s="147">
        <v>44501</v>
      </c>
      <c r="B265" s="44">
        <v>12500000</v>
      </c>
      <c r="C265" s="44">
        <f t="shared" si="6"/>
        <v>255078.32936322398</v>
      </c>
      <c r="D265" s="151">
        <f t="shared" si="7"/>
        <v>13615700.441905674</v>
      </c>
    </row>
    <row r="266" spans="1:4" ht="12.75">
      <c r="A266" s="147">
        <v>44531</v>
      </c>
      <c r="B266" s="44">
        <f>12500000+1250000</f>
        <v>13750000</v>
      </c>
      <c r="C266" s="44">
        <f t="shared" si="6"/>
        <v>134299.55809713347</v>
      </c>
      <c r="D266" s="152">
        <f t="shared" si="7"/>
        <v>2.8070062398910522E-06</v>
      </c>
    </row>
    <row r="267" spans="1:4" ht="12.75">
      <c r="A267" s="155" t="s">
        <v>336</v>
      </c>
      <c r="B267" s="157">
        <f>+NPV(E80,B87:B266)</f>
        <v>1050937230.5103709</v>
      </c>
      <c r="C267" s="44"/>
      <c r="D267" s="151"/>
    </row>
    <row r="270" ht="12.75">
      <c r="A270" s="143" t="s">
        <v>339</v>
      </c>
    </row>
    <row r="272" spans="1:4" ht="12.75">
      <c r="A272" s="143" t="s">
        <v>337</v>
      </c>
      <c r="C272" s="145">
        <f>+B267</f>
        <v>1050937230.5103709</v>
      </c>
      <c r="D272" s="143" t="s">
        <v>338</v>
      </c>
    </row>
    <row r="273" spans="1:3" ht="12.75">
      <c r="A273" s="143" t="s">
        <v>329</v>
      </c>
      <c r="C273" s="145">
        <f>+C272/60*8</f>
        <v>140124964.06804946</v>
      </c>
    </row>
    <row r="274" spans="1:3" ht="12.75">
      <c r="A274" s="143" t="s">
        <v>340</v>
      </c>
      <c r="C274" s="145"/>
    </row>
    <row r="275" spans="1:4" ht="12.75">
      <c r="A275" s="144" t="s">
        <v>341</v>
      </c>
      <c r="B275" s="144"/>
      <c r="C275" s="157">
        <f>+C272-C273</f>
        <v>910812266.4423214</v>
      </c>
      <c r="D275" s="144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78"/>
  <sheetViews>
    <sheetView showGridLines="0" zoomScalePageLayoutView="0" workbookViewId="0" topLeftCell="F1">
      <pane ySplit="1" topLeftCell="A2" activePane="bottomLeft" state="frozen"/>
      <selection pane="topLeft" activeCell="D13" sqref="D13"/>
      <selection pane="bottomLeft" activeCell="D13" sqref="D13"/>
    </sheetView>
  </sheetViews>
  <sheetFormatPr defaultColWidth="11.421875" defaultRowHeight="12.75"/>
  <cols>
    <col min="1" max="1" width="11.421875" style="2" customWidth="1"/>
    <col min="2" max="2" width="29.421875" style="2" customWidth="1"/>
    <col min="3" max="3" width="20.421875" style="2" customWidth="1"/>
    <col min="4" max="6" width="18.140625" style="2" customWidth="1"/>
    <col min="7" max="7" width="20.57421875" style="2" customWidth="1"/>
    <col min="8" max="8" width="18.140625" style="2" customWidth="1"/>
    <col min="9" max="9" width="17.00390625" style="2" bestFit="1" customWidth="1"/>
    <col min="10" max="10" width="12.7109375" style="2" bestFit="1" customWidth="1"/>
    <col min="11" max="11" width="22.421875" style="2" customWidth="1"/>
    <col min="12" max="12" width="19.00390625" style="2" customWidth="1"/>
    <col min="13" max="13" width="19.57421875" style="2" customWidth="1"/>
    <col min="14" max="15" width="17.57421875" style="2" customWidth="1"/>
    <col min="16" max="18" width="19.57421875" style="2" customWidth="1"/>
    <col min="19" max="19" width="11.421875" style="2" customWidth="1"/>
    <col min="20" max="20" width="19.8515625" style="2" customWidth="1"/>
    <col min="21" max="21" width="11.421875" style="2" customWidth="1"/>
    <col min="22" max="22" width="17.140625" style="2" customWidth="1"/>
    <col min="23" max="23" width="22.00390625" style="2" customWidth="1"/>
    <col min="24" max="16384" width="11.421875" style="2" customWidth="1"/>
  </cols>
  <sheetData>
    <row r="1" spans="1:3" s="82" customFormat="1" ht="55.5" customHeight="1">
      <c r="A1" s="84" t="s">
        <v>173</v>
      </c>
      <c r="B1" s="83"/>
      <c r="C1" s="84" t="s">
        <v>174</v>
      </c>
    </row>
    <row r="2" spans="5:8" ht="14.25">
      <c r="E2" s="2" t="s">
        <v>437</v>
      </c>
      <c r="F2" s="2" t="s">
        <v>439</v>
      </c>
      <c r="H2" s="2">
        <v>2500</v>
      </c>
    </row>
    <row r="3" spans="5:7" ht="14.25">
      <c r="E3" s="2" t="s">
        <v>438</v>
      </c>
      <c r="G3" s="2">
        <v>2500</v>
      </c>
    </row>
    <row r="4" ht="15">
      <c r="A4" s="1" t="s">
        <v>195</v>
      </c>
    </row>
    <row r="5" spans="5:7" ht="14.25">
      <c r="E5" s="2" t="s">
        <v>437</v>
      </c>
      <c r="F5" s="2" t="s">
        <v>440</v>
      </c>
      <c r="G5" s="2">
        <v>95</v>
      </c>
    </row>
    <row r="6" spans="5:8" ht="14.25">
      <c r="E6" s="2" t="s">
        <v>438</v>
      </c>
      <c r="H6" s="2">
        <v>95</v>
      </c>
    </row>
    <row r="7" spans="10:23" ht="15">
      <c r="J7" s="341" t="s">
        <v>197</v>
      </c>
      <c r="K7" s="341"/>
      <c r="L7" s="341"/>
      <c r="M7" s="341"/>
      <c r="O7" s="341" t="s">
        <v>199</v>
      </c>
      <c r="P7" s="341"/>
      <c r="Q7" s="341"/>
      <c r="R7" s="341"/>
      <c r="V7" s="341" t="s">
        <v>200</v>
      </c>
      <c r="W7" s="341"/>
    </row>
    <row r="8" spans="1:23" ht="15">
      <c r="A8" s="1" t="s">
        <v>196</v>
      </c>
      <c r="B8" s="1"/>
      <c r="F8" s="343" t="s">
        <v>379</v>
      </c>
      <c r="G8" s="344"/>
      <c r="H8" s="345"/>
      <c r="I8" s="22"/>
      <c r="J8" s="76" t="s">
        <v>198</v>
      </c>
      <c r="K8" s="73" t="s">
        <v>59</v>
      </c>
      <c r="L8" s="73" t="s">
        <v>135</v>
      </c>
      <c r="M8" s="73" t="s">
        <v>68</v>
      </c>
      <c r="O8" s="76" t="s">
        <v>198</v>
      </c>
      <c r="P8" s="73" t="s">
        <v>59</v>
      </c>
      <c r="Q8" s="73" t="s">
        <v>135</v>
      </c>
      <c r="R8" s="73" t="s">
        <v>68</v>
      </c>
      <c r="V8" s="76" t="s">
        <v>198</v>
      </c>
      <c r="W8" s="73" t="s">
        <v>135</v>
      </c>
    </row>
    <row r="9" spans="1:23" ht="15">
      <c r="A9" s="72" t="s">
        <v>146</v>
      </c>
      <c r="B9" s="72" t="s">
        <v>1</v>
      </c>
      <c r="C9" s="87" t="s">
        <v>228</v>
      </c>
      <c r="D9" s="73" t="s">
        <v>29</v>
      </c>
      <c r="E9" s="96" t="s">
        <v>145</v>
      </c>
      <c r="F9" s="346"/>
      <c r="G9" s="347"/>
      <c r="H9" s="348"/>
      <c r="I9" s="22"/>
      <c r="J9" s="5"/>
      <c r="K9" s="14">
        <f>+P9+95000000</f>
        <v>-2405000000</v>
      </c>
      <c r="L9" s="14"/>
      <c r="M9" s="14">
        <f>-K9</f>
        <v>2405000000</v>
      </c>
      <c r="O9" s="5"/>
      <c r="P9" s="14">
        <f>(2500000000)*-1</f>
        <v>-2500000000</v>
      </c>
      <c r="Q9" s="14"/>
      <c r="R9" s="14">
        <f>-P9</f>
        <v>2500000000</v>
      </c>
      <c r="T9" s="76" t="s">
        <v>201</v>
      </c>
      <c r="V9" s="5"/>
      <c r="W9" s="14"/>
    </row>
    <row r="10" spans="1:23" ht="15">
      <c r="A10" s="5"/>
      <c r="B10" s="3" t="s">
        <v>26</v>
      </c>
      <c r="C10" s="8">
        <f>+C11</f>
        <v>1460467839.369828</v>
      </c>
      <c r="D10" s="8">
        <f>+D11</f>
        <v>-34043256.00824618</v>
      </c>
      <c r="E10" s="8">
        <f>+E11</f>
        <v>1426424583.3615818</v>
      </c>
      <c r="F10" s="346"/>
      <c r="G10" s="347"/>
      <c r="H10" s="348"/>
      <c r="I10" s="22"/>
      <c r="J10" s="5" t="s">
        <v>41</v>
      </c>
      <c r="K10" s="97">
        <f aca="true" t="shared" si="0" ref="K10:K15">+P10</f>
        <v>608064296.0615733</v>
      </c>
      <c r="L10" s="14">
        <f aca="true" t="shared" si="1" ref="L10:L15">+M9*$K$16</f>
        <v>321883507.2691985</v>
      </c>
      <c r="M10" s="14">
        <f aca="true" t="shared" si="2" ref="M10:M15">+M9+L10-K10</f>
        <v>2118819211.2076252</v>
      </c>
      <c r="O10" s="5" t="s">
        <v>41</v>
      </c>
      <c r="P10" s="97">
        <f>-T10</f>
        <v>608064296.0615733</v>
      </c>
      <c r="Q10" s="14">
        <f aca="true" t="shared" si="3" ref="Q10:Q15">+R9*$P$16</f>
        <v>300000000.00000024</v>
      </c>
      <c r="R10" s="14">
        <f aca="true" t="shared" si="4" ref="R10:R15">+R9+Q10-P10</f>
        <v>2191935703.938427</v>
      </c>
      <c r="T10" s="99">
        <f>+PMT(12%,6,2500000000,0,0)</f>
        <v>-608064296.0615733</v>
      </c>
      <c r="V10" s="5" t="s">
        <v>41</v>
      </c>
      <c r="W10" s="14">
        <f aca="true" t="shared" si="5" ref="W10:W15">+Q10-L10</f>
        <v>-21883507.26919824</v>
      </c>
    </row>
    <row r="11" spans="1:23" ht="14.25">
      <c r="A11" s="5">
        <v>210510</v>
      </c>
      <c r="B11" s="20" t="s">
        <v>26</v>
      </c>
      <c r="C11" s="6">
        <f>+R12</f>
        <v>1460467839.369828</v>
      </c>
      <c r="D11" s="6">
        <f>+E11-C11</f>
        <v>-34043256.00824618</v>
      </c>
      <c r="E11" s="95">
        <f>+M12</f>
        <v>1426424583.3615818</v>
      </c>
      <c r="F11" s="346"/>
      <c r="G11" s="347"/>
      <c r="H11" s="348"/>
      <c r="I11" s="22"/>
      <c r="J11" s="5" t="s">
        <v>42</v>
      </c>
      <c r="K11" s="97">
        <f t="shared" si="0"/>
        <v>608064296.0615733</v>
      </c>
      <c r="L11" s="14">
        <f t="shared" si="1"/>
        <v>283581271.92219</v>
      </c>
      <c r="M11" s="14">
        <f t="shared" si="2"/>
        <v>1794336187.0682418</v>
      </c>
      <c r="O11" s="5" t="s">
        <v>42</v>
      </c>
      <c r="P11" s="97">
        <f>+P10</f>
        <v>608064296.0615733</v>
      </c>
      <c r="Q11" s="14">
        <f t="shared" si="3"/>
        <v>263032284.47261146</v>
      </c>
      <c r="R11" s="14">
        <f t="shared" si="4"/>
        <v>1846903692.3494651</v>
      </c>
      <c r="V11" s="5" t="s">
        <v>42</v>
      </c>
      <c r="W11" s="14">
        <f t="shared" si="5"/>
        <v>-20548987.449578553</v>
      </c>
    </row>
    <row r="12" spans="6:23" ht="14.25">
      <c r="F12" s="349"/>
      <c r="G12" s="350"/>
      <c r="H12" s="351"/>
      <c r="I12" s="22"/>
      <c r="J12" s="15" t="s">
        <v>43</v>
      </c>
      <c r="K12" s="98">
        <f t="shared" si="0"/>
        <v>608064296.0615733</v>
      </c>
      <c r="L12" s="43">
        <f t="shared" si="1"/>
        <v>240152692.3549132</v>
      </c>
      <c r="M12" s="43">
        <f t="shared" si="2"/>
        <v>1426424583.3615818</v>
      </c>
      <c r="O12" s="15" t="s">
        <v>43</v>
      </c>
      <c r="P12" s="98">
        <f>+P11</f>
        <v>608064296.0615733</v>
      </c>
      <c r="Q12" s="43">
        <f t="shared" si="3"/>
        <v>221628443.081936</v>
      </c>
      <c r="R12" s="43">
        <f t="shared" si="4"/>
        <v>1460467839.369828</v>
      </c>
      <c r="V12" s="15" t="s">
        <v>43</v>
      </c>
      <c r="W12" s="43">
        <f t="shared" si="5"/>
        <v>-18524249.272977203</v>
      </c>
    </row>
    <row r="13" spans="10:23" ht="14.25">
      <c r="J13" s="5" t="s">
        <v>44</v>
      </c>
      <c r="K13" s="97">
        <f t="shared" si="0"/>
        <v>608064296.0615733</v>
      </c>
      <c r="L13" s="14">
        <f t="shared" si="1"/>
        <v>190911662.26504412</v>
      </c>
      <c r="M13" s="14">
        <f t="shared" si="2"/>
        <v>1009271949.5650527</v>
      </c>
      <c r="O13" s="5" t="s">
        <v>44</v>
      </c>
      <c r="P13" s="97">
        <f>+P12</f>
        <v>608064296.0615733</v>
      </c>
      <c r="Q13" s="14">
        <f t="shared" si="3"/>
        <v>175256140.7243795</v>
      </c>
      <c r="R13" s="14">
        <f t="shared" si="4"/>
        <v>1027659684.0326343</v>
      </c>
      <c r="V13" s="5" t="s">
        <v>44</v>
      </c>
      <c r="W13" s="14">
        <f t="shared" si="5"/>
        <v>-15655521.540664613</v>
      </c>
    </row>
    <row r="14" spans="10:23" ht="14.25">
      <c r="J14" s="5" t="s">
        <v>45</v>
      </c>
      <c r="K14" s="97">
        <f t="shared" si="0"/>
        <v>608064296.0615733</v>
      </c>
      <c r="L14" s="14">
        <f t="shared" si="1"/>
        <v>135080247.36566353</v>
      </c>
      <c r="M14" s="14">
        <f t="shared" si="2"/>
        <v>536287900.869143</v>
      </c>
      <c r="O14" s="5" t="s">
        <v>45</v>
      </c>
      <c r="P14" s="97">
        <f>+P13</f>
        <v>608064296.0615733</v>
      </c>
      <c r="Q14" s="14">
        <f t="shared" si="3"/>
        <v>123319162.08391622</v>
      </c>
      <c r="R14" s="14">
        <f t="shared" si="4"/>
        <v>542914550.0549772</v>
      </c>
      <c r="V14" s="5" t="s">
        <v>45</v>
      </c>
      <c r="W14" s="14">
        <f t="shared" si="5"/>
        <v>-11761085.281747311</v>
      </c>
    </row>
    <row r="15" spans="8:23" ht="14.25">
      <c r="H15" s="13"/>
      <c r="J15" s="5" t="s">
        <v>134</v>
      </c>
      <c r="K15" s="97">
        <f t="shared" si="0"/>
        <v>608064296.0615733</v>
      </c>
      <c r="L15" s="14">
        <f t="shared" si="1"/>
        <v>71776395.19243076</v>
      </c>
      <c r="M15" s="43">
        <f t="shared" si="2"/>
        <v>0</v>
      </c>
      <c r="O15" s="5" t="s">
        <v>134</v>
      </c>
      <c r="P15" s="97">
        <f>+P14</f>
        <v>608064296.0615733</v>
      </c>
      <c r="Q15" s="14">
        <f t="shared" si="3"/>
        <v>65149746.00659732</v>
      </c>
      <c r="R15" s="14">
        <f t="shared" si="4"/>
        <v>1.1920928955078125E-06</v>
      </c>
      <c r="V15" s="5" t="s">
        <v>134</v>
      </c>
      <c r="W15" s="14">
        <f t="shared" si="5"/>
        <v>-6626649.185833447</v>
      </c>
    </row>
    <row r="16" spans="6:23" ht="15">
      <c r="F16" s="1" t="s">
        <v>257</v>
      </c>
      <c r="H16" s="13"/>
      <c r="J16" s="1" t="s">
        <v>2</v>
      </c>
      <c r="K16" s="100">
        <f>+IRR(K9:K15)</f>
        <v>0.13383929616182888</v>
      </c>
      <c r="L16" s="47" t="s">
        <v>3</v>
      </c>
      <c r="M16" s="13"/>
      <c r="N16" s="13"/>
      <c r="O16" s="1" t="s">
        <v>202</v>
      </c>
      <c r="P16" s="100">
        <f>+IRR(P9:P15)</f>
        <v>0.1200000000000001</v>
      </c>
      <c r="Q16" s="47" t="s">
        <v>3</v>
      </c>
      <c r="R16" s="13"/>
      <c r="W16" s="47">
        <f>SUM(W10:W15)</f>
        <v>-94999999.99999937</v>
      </c>
    </row>
    <row r="17" spans="8:16" ht="14.25">
      <c r="H17" s="13"/>
      <c r="N17" s="13"/>
      <c r="P17" s="134"/>
    </row>
    <row r="18" spans="8:14" ht="14.25">
      <c r="H18" s="13"/>
      <c r="N18" s="13"/>
    </row>
    <row r="19" spans="1:14" ht="15">
      <c r="A19" s="75" t="s">
        <v>206</v>
      </c>
      <c r="B19" s="74"/>
      <c r="C19" s="74"/>
      <c r="D19" s="74"/>
      <c r="E19" s="74"/>
      <c r="H19" s="13"/>
      <c r="N19" s="13"/>
    </row>
    <row r="20" spans="1:14" ht="15">
      <c r="A20" s="72" t="s">
        <v>146</v>
      </c>
      <c r="B20" s="72" t="s">
        <v>1</v>
      </c>
      <c r="C20" s="87" t="s">
        <v>228</v>
      </c>
      <c r="D20" s="73" t="s">
        <v>29</v>
      </c>
      <c r="E20" s="87" t="s">
        <v>145</v>
      </c>
      <c r="H20" s="13"/>
      <c r="N20" s="13"/>
    </row>
    <row r="21" spans="1:14" ht="15">
      <c r="A21" s="352" t="s">
        <v>4</v>
      </c>
      <c r="B21" s="353"/>
      <c r="C21" s="79">
        <f>SUM(C22:C29)</f>
        <v>2190875000</v>
      </c>
      <c r="D21" s="79">
        <f>SUM(D22:D29)</f>
        <v>-254000000</v>
      </c>
      <c r="E21" s="79">
        <f>SUM(E22:E29)</f>
        <v>1936875000</v>
      </c>
      <c r="G21" s="13"/>
      <c r="H21" s="13"/>
      <c r="N21" s="13"/>
    </row>
    <row r="22" spans="1:17" ht="14.25">
      <c r="A22" s="5">
        <v>2205</v>
      </c>
      <c r="B22" s="20" t="s">
        <v>70</v>
      </c>
      <c r="C22" s="6">
        <v>1350000000</v>
      </c>
      <c r="D22" s="6"/>
      <c r="E22" s="6">
        <f>+C22+D22</f>
        <v>1350000000</v>
      </c>
      <c r="G22" s="13"/>
      <c r="H22" s="13"/>
      <c r="N22" s="13"/>
      <c r="Q22" s="9"/>
    </row>
    <row r="23" spans="1:17" ht="14.25">
      <c r="A23" s="5"/>
      <c r="B23" s="20" t="s">
        <v>486</v>
      </c>
      <c r="C23" s="6"/>
      <c r="D23" s="6">
        <v>0</v>
      </c>
      <c r="E23" s="6">
        <f>+C23+D23</f>
        <v>0</v>
      </c>
      <c r="G23" s="13"/>
      <c r="H23" s="13"/>
      <c r="N23" s="13"/>
      <c r="Q23" s="9"/>
    </row>
    <row r="24" spans="1:17" ht="14.25">
      <c r="A24" s="5">
        <v>2365</v>
      </c>
      <c r="B24" s="20" t="s">
        <v>32</v>
      </c>
      <c r="C24" s="6">
        <v>265000000</v>
      </c>
      <c r="D24" s="6"/>
      <c r="E24" s="6">
        <f aca="true" t="shared" si="6" ref="E24:E29">+C24+D24</f>
        <v>265000000</v>
      </c>
      <c r="G24" s="13"/>
      <c r="N24" s="13"/>
      <c r="Q24" s="12"/>
    </row>
    <row r="25" spans="1:18" s="22" customFormat="1" ht="15">
      <c r="A25" s="5">
        <v>237010</v>
      </c>
      <c r="B25" s="20" t="s">
        <v>131</v>
      </c>
      <c r="C25" s="6">
        <v>36250000</v>
      </c>
      <c r="D25" s="6"/>
      <c r="E25" s="6">
        <f t="shared" si="6"/>
        <v>36250000</v>
      </c>
      <c r="F25" s="2"/>
      <c r="G25" s="13"/>
      <c r="N25" s="50"/>
      <c r="O25" s="2"/>
      <c r="P25" s="58"/>
      <c r="Q25" s="59"/>
      <c r="R25" s="122"/>
    </row>
    <row r="26" spans="1:14" s="22" customFormat="1" ht="14.25">
      <c r="A26" s="5">
        <v>237005</v>
      </c>
      <c r="B26" s="20" t="s">
        <v>380</v>
      </c>
      <c r="C26" s="6">
        <v>65000000</v>
      </c>
      <c r="D26" s="6"/>
      <c r="E26" s="6">
        <f t="shared" si="6"/>
        <v>65000000</v>
      </c>
      <c r="F26" s="2"/>
      <c r="G26" s="2" t="s">
        <v>233</v>
      </c>
      <c r="I26" s="162">
        <v>32526000</v>
      </c>
      <c r="M26" s="52"/>
      <c r="N26" s="52"/>
    </row>
    <row r="27" spans="1:17" s="22" customFormat="1" ht="15">
      <c r="A27" s="5">
        <v>237045</v>
      </c>
      <c r="B27" s="20" t="s">
        <v>148</v>
      </c>
      <c r="C27" s="6">
        <v>195000000</v>
      </c>
      <c r="D27" s="6"/>
      <c r="E27" s="6">
        <f t="shared" si="6"/>
        <v>195000000</v>
      </c>
      <c r="F27" s="2"/>
      <c r="G27" s="2" t="s">
        <v>233</v>
      </c>
      <c r="I27" s="162">
        <v>135626000</v>
      </c>
      <c r="L27" s="51"/>
      <c r="N27" s="54"/>
      <c r="O27" s="123"/>
      <c r="P27" s="58"/>
      <c r="Q27" s="124"/>
    </row>
    <row r="28" spans="1:15" s="22" customFormat="1" ht="14.25">
      <c r="A28" s="5">
        <v>2404</v>
      </c>
      <c r="B28" s="20" t="s">
        <v>130</v>
      </c>
      <c r="C28" s="6">
        <v>254000000</v>
      </c>
      <c r="D28" s="6">
        <f>-C28</f>
        <v>-254000000</v>
      </c>
      <c r="E28" s="6">
        <f t="shared" si="6"/>
        <v>0</v>
      </c>
      <c r="F28" s="2" t="s">
        <v>291</v>
      </c>
      <c r="G28" s="13"/>
      <c r="L28" s="51"/>
      <c r="N28" s="54"/>
      <c r="O28" s="50"/>
    </row>
    <row r="29" spans="1:15" ht="18" customHeight="1">
      <c r="A29" s="5">
        <v>2412</v>
      </c>
      <c r="B29" s="20" t="s">
        <v>34</v>
      </c>
      <c r="C29" s="6">
        <v>25625000</v>
      </c>
      <c r="D29" s="6"/>
      <c r="E29" s="6">
        <f t="shared" si="6"/>
        <v>25625000</v>
      </c>
      <c r="G29" s="13"/>
      <c r="L29" s="51"/>
      <c r="N29" s="54"/>
      <c r="O29" s="50"/>
    </row>
    <row r="30" spans="2:15" ht="14.25">
      <c r="B30" s="22"/>
      <c r="C30" s="24"/>
      <c r="D30" s="24"/>
      <c r="E30" s="24"/>
      <c r="L30" s="51"/>
      <c r="N30" s="54"/>
      <c r="O30" s="50"/>
    </row>
    <row r="31" spans="12:16" ht="14.25">
      <c r="L31" s="51"/>
      <c r="M31" s="51"/>
      <c r="N31" s="51"/>
      <c r="O31" s="51"/>
      <c r="P31" s="51"/>
    </row>
    <row r="32" spans="12:16" ht="14.25">
      <c r="L32" s="51"/>
      <c r="M32" s="51"/>
      <c r="N32" s="51"/>
      <c r="O32" s="51"/>
      <c r="P32" s="51"/>
    </row>
    <row r="33" spans="11:16" ht="14.25">
      <c r="K33" s="53"/>
      <c r="L33" s="51"/>
      <c r="M33" s="51"/>
      <c r="N33" s="51"/>
      <c r="O33" s="51"/>
      <c r="P33" s="51"/>
    </row>
    <row r="34" spans="1:16" ht="15">
      <c r="A34" s="75" t="s">
        <v>208</v>
      </c>
      <c r="B34" s="74"/>
      <c r="C34" s="74"/>
      <c r="D34" s="74"/>
      <c r="E34" s="74"/>
      <c r="K34" s="19"/>
      <c r="L34" s="51"/>
      <c r="M34" s="51"/>
      <c r="N34" s="51"/>
      <c r="O34" s="51"/>
      <c r="P34" s="51"/>
    </row>
    <row r="35" spans="1:16" ht="15">
      <c r="A35" s="71"/>
      <c r="B35" s="72" t="s">
        <v>1</v>
      </c>
      <c r="C35" s="87" t="s">
        <v>228</v>
      </c>
      <c r="D35" s="73" t="s">
        <v>29</v>
      </c>
      <c r="E35" s="87" t="s">
        <v>145</v>
      </c>
      <c r="L35" s="51"/>
      <c r="M35" s="51"/>
      <c r="N35" s="51"/>
      <c r="O35" s="51"/>
      <c r="P35" s="51"/>
    </row>
    <row r="36" spans="1:16" ht="15">
      <c r="A36" s="11" t="s">
        <v>146</v>
      </c>
      <c r="B36" s="3" t="s">
        <v>27</v>
      </c>
      <c r="C36" s="8">
        <f>SUM(C37)</f>
        <v>40248900</v>
      </c>
      <c r="D36" s="8">
        <f>SUM(D37)</f>
        <v>5316830</v>
      </c>
      <c r="E36" s="8">
        <f>SUM(E37)</f>
        <v>45565730</v>
      </c>
      <c r="L36" s="51"/>
      <c r="M36" s="51"/>
      <c r="N36" s="51"/>
      <c r="O36" s="51"/>
      <c r="P36" s="51"/>
    </row>
    <row r="37" spans="1:16" ht="14.25">
      <c r="A37" s="5">
        <v>25</v>
      </c>
      <c r="B37" s="23" t="s">
        <v>27</v>
      </c>
      <c r="C37" s="6">
        <f>+Laboral!B11+Laboral!C11+Laboral!D11</f>
        <v>40248900</v>
      </c>
      <c r="D37" s="6">
        <f>+E37-C37</f>
        <v>5316830</v>
      </c>
      <c r="E37" s="6">
        <f>+Laboral!B22+Laboral!C22+Laboral!D22</f>
        <v>45565730</v>
      </c>
      <c r="L37" s="51"/>
      <c r="M37" s="51"/>
      <c r="N37" s="51"/>
      <c r="O37" s="51"/>
      <c r="P37" s="51"/>
    </row>
    <row r="38" spans="12:16" ht="14.25">
      <c r="L38" s="51"/>
      <c r="M38" s="51"/>
      <c r="N38" s="51"/>
      <c r="O38" s="51"/>
      <c r="P38" s="51"/>
    </row>
    <row r="39" ht="15">
      <c r="A39" s="1" t="s">
        <v>258</v>
      </c>
    </row>
    <row r="45" ht="14.25"/>
    <row r="46" ht="14.25"/>
    <row r="47" ht="14.25"/>
    <row r="48" ht="14.25"/>
    <row r="49" ht="14.25"/>
    <row r="50" ht="15">
      <c r="A50" s="1" t="s">
        <v>205</v>
      </c>
    </row>
    <row r="51" spans="1:5" ht="15">
      <c r="A51" s="72" t="s">
        <v>146</v>
      </c>
      <c r="B51" s="72" t="s">
        <v>1</v>
      </c>
      <c r="C51" s="87" t="s">
        <v>78</v>
      </c>
      <c r="D51" s="73" t="s">
        <v>29</v>
      </c>
      <c r="E51" s="87" t="s">
        <v>145</v>
      </c>
    </row>
    <row r="52" spans="1:5" ht="15">
      <c r="A52" s="74"/>
      <c r="B52" s="72" t="s">
        <v>112</v>
      </c>
      <c r="C52" s="79">
        <f>SUM(C53:C56)</f>
        <v>503000000</v>
      </c>
      <c r="D52" s="79">
        <f>SUM(D53:D56)</f>
        <v>-171568543.48882416</v>
      </c>
      <c r="E52" s="79">
        <f>SUM(E53:E56)</f>
        <v>331431456.5111758</v>
      </c>
    </row>
    <row r="53" spans="1:6" ht="14.25">
      <c r="A53" s="7">
        <v>260525</v>
      </c>
      <c r="B53" s="5" t="s">
        <v>149</v>
      </c>
      <c r="C53" s="6">
        <v>48000000</v>
      </c>
      <c r="D53" s="6">
        <f>-C53</f>
        <v>-48000000</v>
      </c>
      <c r="E53" s="6">
        <f>+C53+D53</f>
        <v>0</v>
      </c>
      <c r="F53" s="2" t="s">
        <v>236</v>
      </c>
    </row>
    <row r="54" spans="1:6" ht="14.25">
      <c r="A54" s="7">
        <v>263015</v>
      </c>
      <c r="B54" s="5" t="s">
        <v>150</v>
      </c>
      <c r="C54" s="6">
        <v>85000000</v>
      </c>
      <c r="D54" s="6">
        <f>-C54</f>
        <v>-85000000</v>
      </c>
      <c r="E54" s="6">
        <f>+C54+D54</f>
        <v>0</v>
      </c>
      <c r="F54" s="2" t="s">
        <v>375</v>
      </c>
    </row>
    <row r="55" spans="1:5" ht="14.25">
      <c r="A55" s="7">
        <v>2695</v>
      </c>
      <c r="B55" s="5" t="s">
        <v>276</v>
      </c>
      <c r="C55" s="6"/>
      <c r="D55" s="6">
        <f>+E55-C55</f>
        <v>52083333.333333336</v>
      </c>
      <c r="E55" s="6">
        <f>+F60</f>
        <v>52083333.333333336</v>
      </c>
    </row>
    <row r="56" spans="1:5" ht="14.25">
      <c r="A56" s="5">
        <v>2635</v>
      </c>
      <c r="B56" s="20" t="s">
        <v>35</v>
      </c>
      <c r="C56" s="6">
        <f>+C69</f>
        <v>370000000</v>
      </c>
      <c r="D56" s="6">
        <f>+E56-C56</f>
        <v>-90651876.8221575</v>
      </c>
      <c r="E56" s="6">
        <f>+D74</f>
        <v>279348123.1778425</v>
      </c>
    </row>
    <row r="59" ht="14.25">
      <c r="B59" s="2" t="s">
        <v>376</v>
      </c>
    </row>
    <row r="60" spans="2:7" ht="14.25">
      <c r="B60" s="2" t="s">
        <v>259</v>
      </c>
      <c r="C60" s="13">
        <v>12500000000</v>
      </c>
      <c r="E60" s="2" t="s">
        <v>277</v>
      </c>
      <c r="F60" s="13">
        <f>+C60*5%/12</f>
        <v>52083333.333333336</v>
      </c>
      <c r="G60" s="2" t="s">
        <v>451</v>
      </c>
    </row>
    <row r="61" spans="2:11" ht="14.25">
      <c r="B61" s="2" t="s">
        <v>260</v>
      </c>
      <c r="C61" s="13">
        <f>+C60*0.75</f>
        <v>9375000000</v>
      </c>
      <c r="I61" s="13"/>
      <c r="J61" s="13"/>
      <c r="K61" s="13"/>
    </row>
    <row r="62" spans="2:3" ht="15">
      <c r="B62" s="1" t="s">
        <v>261</v>
      </c>
      <c r="C62" s="47">
        <f>+C60-C61</f>
        <v>3125000000</v>
      </c>
    </row>
    <row r="66" ht="15">
      <c r="B66" s="1" t="s">
        <v>203</v>
      </c>
    </row>
    <row r="67" spans="2:8" ht="15">
      <c r="B67" s="341"/>
      <c r="C67" s="341"/>
      <c r="D67" s="341" t="s">
        <v>40</v>
      </c>
      <c r="E67" s="341"/>
      <c r="F67" s="341"/>
      <c r="G67" s="341"/>
      <c r="H67" s="341"/>
    </row>
    <row r="68" spans="2:8" ht="30">
      <c r="B68" s="101" t="s">
        <v>36</v>
      </c>
      <c r="C68" s="76" t="s">
        <v>46</v>
      </c>
      <c r="D68" s="76" t="s">
        <v>41</v>
      </c>
      <c r="E68" s="76" t="s">
        <v>42</v>
      </c>
      <c r="F68" s="76" t="s">
        <v>43</v>
      </c>
      <c r="G68" s="76" t="s">
        <v>44</v>
      </c>
      <c r="H68" s="76" t="s">
        <v>45</v>
      </c>
    </row>
    <row r="69" spans="2:8" ht="15">
      <c r="B69" s="87" t="s">
        <v>4</v>
      </c>
      <c r="C69" s="79">
        <f aca="true" t="shared" si="7" ref="C69:H69">+C70+C71</f>
        <v>370000000</v>
      </c>
      <c r="D69" s="79">
        <f t="shared" si="7"/>
        <v>60000000</v>
      </c>
      <c r="E69" s="79">
        <f t="shared" si="7"/>
        <v>60000000</v>
      </c>
      <c r="F69" s="79">
        <f t="shared" si="7"/>
        <v>250000000</v>
      </c>
      <c r="G69" s="79">
        <f t="shared" si="7"/>
        <v>0</v>
      </c>
      <c r="H69" s="79">
        <f t="shared" si="7"/>
        <v>0</v>
      </c>
    </row>
    <row r="70" spans="2:8" ht="14.25">
      <c r="B70" s="20" t="s">
        <v>38</v>
      </c>
      <c r="C70" s="6">
        <f>SUM(D70:H70)</f>
        <v>250000000</v>
      </c>
      <c r="D70" s="6">
        <v>0</v>
      </c>
      <c r="E70" s="6">
        <v>0</v>
      </c>
      <c r="F70" s="6">
        <v>250000000</v>
      </c>
      <c r="G70" s="6">
        <v>0</v>
      </c>
      <c r="H70" s="6">
        <v>0</v>
      </c>
    </row>
    <row r="71" spans="2:8" ht="14.25">
      <c r="B71" s="20" t="s">
        <v>37</v>
      </c>
      <c r="C71" s="6">
        <f>SUM(D71:H71)</f>
        <v>120000000</v>
      </c>
      <c r="D71" s="6">
        <v>60000000</v>
      </c>
      <c r="E71" s="6">
        <v>60000000</v>
      </c>
      <c r="F71" s="6">
        <v>0</v>
      </c>
      <c r="G71" s="6">
        <v>0</v>
      </c>
      <c r="H71" s="6">
        <v>0</v>
      </c>
    </row>
    <row r="73" spans="2:8" ht="30">
      <c r="B73" s="87" t="s">
        <v>36</v>
      </c>
      <c r="C73" s="76" t="s">
        <v>78</v>
      </c>
      <c r="D73" s="76" t="s">
        <v>169</v>
      </c>
      <c r="F73" s="2" t="s">
        <v>445</v>
      </c>
      <c r="H73" s="2" t="s">
        <v>372</v>
      </c>
    </row>
    <row r="74" spans="2:9" ht="15">
      <c r="B74" s="87" t="s">
        <v>4</v>
      </c>
      <c r="C74" s="79">
        <f>+C75+C76</f>
        <v>370000000</v>
      </c>
      <c r="D74" s="79">
        <f>+D75+D76</f>
        <v>279348123.1778425</v>
      </c>
      <c r="F74" s="134" t="s">
        <v>446</v>
      </c>
      <c r="H74" s="2" t="s">
        <v>448</v>
      </c>
      <c r="I74" s="2" t="s">
        <v>449</v>
      </c>
    </row>
    <row r="75" spans="2:6" ht="14.25">
      <c r="B75" s="20" t="s">
        <v>38</v>
      </c>
      <c r="C75" s="6">
        <f>+C70</f>
        <v>250000000</v>
      </c>
      <c r="D75" s="6">
        <f>+NPV(12%,D70:H70)</f>
        <v>177945061.95335272</v>
      </c>
      <c r="F75" s="2" t="s">
        <v>447</v>
      </c>
    </row>
    <row r="76" spans="2:4" ht="14.25">
      <c r="B76" s="20" t="s">
        <v>37</v>
      </c>
      <c r="C76" s="6">
        <f>+C71</f>
        <v>120000000</v>
      </c>
      <c r="D76" s="6">
        <f>+NPV(12%,D71:H71)</f>
        <v>101403061.22448978</v>
      </c>
    </row>
    <row r="78" spans="2:5" ht="15">
      <c r="B78" s="2" t="s">
        <v>292</v>
      </c>
      <c r="D78" s="2" t="s">
        <v>161</v>
      </c>
      <c r="E78" s="102" t="s">
        <v>204</v>
      </c>
    </row>
  </sheetData>
  <sheetProtection/>
  <mergeCells count="7">
    <mergeCell ref="D67:H67"/>
    <mergeCell ref="F8:H12"/>
    <mergeCell ref="J7:M7"/>
    <mergeCell ref="A21:B21"/>
    <mergeCell ref="O7:R7"/>
    <mergeCell ref="V7:W7"/>
    <mergeCell ref="B67:C67"/>
  </mergeCells>
  <hyperlinks>
    <hyperlink ref="E78" r:id="rId1" display="http://pages.stern.nyu.edu/~adamodar/"/>
  </hyperlinks>
  <printOptions/>
  <pageMargins left="0.3937007874015748" right="0.3937007874015748" top="0.3937007874015748" bottom="0.3937007874015748" header="0" footer="0"/>
  <pageSetup horizontalDpi="600" verticalDpi="600" orientation="landscape" scale="90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66"/>
  <sheetViews>
    <sheetView showGridLines="0" zoomScale="110" zoomScaleNormal="110" zoomScalePageLayoutView="0" workbookViewId="0" topLeftCell="A10">
      <selection activeCell="D13" sqref="D13"/>
    </sheetView>
  </sheetViews>
  <sheetFormatPr defaultColWidth="11.421875" defaultRowHeight="12.75"/>
  <cols>
    <col min="1" max="1" width="27.140625" style="17" customWidth="1"/>
    <col min="2" max="2" width="16.8515625" style="17" bestFit="1" customWidth="1"/>
    <col min="3" max="3" width="17.7109375" style="17" customWidth="1"/>
    <col min="4" max="4" width="16.8515625" style="17" bestFit="1" customWidth="1"/>
    <col min="5" max="6" width="17.421875" style="17" bestFit="1" customWidth="1"/>
    <col min="7" max="7" width="18.57421875" style="17" customWidth="1"/>
    <col min="8" max="9" width="14.8515625" style="17" customWidth="1"/>
    <col min="10" max="10" width="18.57421875" style="17" customWidth="1"/>
    <col min="11" max="11" width="15.140625" style="17" customWidth="1"/>
    <col min="12" max="12" width="13.140625" style="17" bestFit="1" customWidth="1"/>
    <col min="13" max="13" width="16.140625" style="17" customWidth="1"/>
    <col min="14" max="16384" width="11.421875" style="17" customWidth="1"/>
  </cols>
  <sheetData>
    <row r="1" spans="1:6" s="82" customFormat="1" ht="55.5" customHeight="1">
      <c r="A1" s="84" t="s">
        <v>173</v>
      </c>
      <c r="B1" s="83"/>
      <c r="C1" s="84" t="s">
        <v>174</v>
      </c>
      <c r="E1" s="84"/>
      <c r="F1" s="84" t="s">
        <v>207</v>
      </c>
    </row>
    <row r="2" ht="14.25"/>
    <row r="3" ht="14.25">
      <c r="A3" s="17" t="s">
        <v>209</v>
      </c>
    </row>
    <row r="5" ht="15">
      <c r="A5" s="46" t="s">
        <v>210</v>
      </c>
    </row>
    <row r="6" spans="1:6" ht="15">
      <c r="A6" s="88" t="s">
        <v>71</v>
      </c>
      <c r="B6" s="88" t="s">
        <v>113</v>
      </c>
      <c r="C6" s="88" t="s">
        <v>114</v>
      </c>
      <c r="D6" s="88" t="s">
        <v>72</v>
      </c>
      <c r="E6" s="88" t="s">
        <v>234</v>
      </c>
      <c r="F6" s="88" t="s">
        <v>73</v>
      </c>
    </row>
    <row r="7" spans="1:8" ht="14.25">
      <c r="A7" s="31" t="s">
        <v>115</v>
      </c>
      <c r="B7" s="31">
        <f>+E7*1</f>
        <v>12500000</v>
      </c>
      <c r="C7" s="31">
        <f>+B7*0.12</f>
        <v>1500000</v>
      </c>
      <c r="D7" s="31">
        <f>+E7/2</f>
        <v>6250000</v>
      </c>
      <c r="E7" s="31">
        <v>12500000</v>
      </c>
      <c r="F7" s="31" t="s">
        <v>74</v>
      </c>
      <c r="H7" s="17" t="s">
        <v>0</v>
      </c>
    </row>
    <row r="8" spans="1:8" ht="14.25">
      <c r="A8" s="31" t="s">
        <v>116</v>
      </c>
      <c r="B8" s="31">
        <f>+E8*1</f>
        <v>3500000</v>
      </c>
      <c r="C8" s="31">
        <f>+B8*0.12</f>
        <v>420000</v>
      </c>
      <c r="D8" s="31">
        <f>+E8/2</f>
        <v>1750000</v>
      </c>
      <c r="E8" s="31">
        <v>3500000</v>
      </c>
      <c r="F8" s="31" t="s">
        <v>75</v>
      </c>
      <c r="H8" s="17" t="s">
        <v>0</v>
      </c>
    </row>
    <row r="9" spans="1:6" ht="14.25">
      <c r="A9" s="31" t="s">
        <v>118</v>
      </c>
      <c r="B9" s="31">
        <f>+E9*1</f>
        <v>2500000</v>
      </c>
      <c r="C9" s="31">
        <f>+B9*0.12</f>
        <v>300000</v>
      </c>
      <c r="D9" s="31">
        <f>+E9/2</f>
        <v>1250000</v>
      </c>
      <c r="E9" s="31">
        <v>2500000</v>
      </c>
      <c r="F9" s="31" t="s">
        <v>77</v>
      </c>
    </row>
    <row r="10" spans="1:6" ht="14.25">
      <c r="A10" s="31" t="s">
        <v>117</v>
      </c>
      <c r="B10" s="31">
        <f>+E10*1</f>
        <v>6345000</v>
      </c>
      <c r="C10" s="31">
        <f>+B10*0.12</f>
        <v>761400</v>
      </c>
      <c r="D10" s="31">
        <f>+E10/2</f>
        <v>3172500</v>
      </c>
      <c r="E10" s="31">
        <v>6345000</v>
      </c>
      <c r="F10" s="31" t="s">
        <v>76</v>
      </c>
    </row>
    <row r="11" spans="1:6" ht="15">
      <c r="A11" s="37" t="s">
        <v>4</v>
      </c>
      <c r="B11" s="37">
        <f>SUM(B7:B10)</f>
        <v>24845000</v>
      </c>
      <c r="C11" s="37">
        <f>SUM(C7:C10)</f>
        <v>2981400</v>
      </c>
      <c r="D11" s="45">
        <f>SUM(D7:D10)</f>
        <v>12422500</v>
      </c>
      <c r="E11" s="37"/>
      <c r="F11" s="37"/>
    </row>
    <row r="14" spans="11:13" ht="14.25">
      <c r="K14" s="17" t="s">
        <v>159</v>
      </c>
      <c r="L14" s="17">
        <v>360</v>
      </c>
      <c r="M14" s="17">
        <v>21</v>
      </c>
    </row>
    <row r="15" ht="14.25">
      <c r="K15" s="17" t="s">
        <v>158</v>
      </c>
    </row>
    <row r="16" ht="15">
      <c r="A16" s="46" t="s">
        <v>211</v>
      </c>
    </row>
    <row r="17" spans="1:13" ht="15">
      <c r="A17" s="88" t="s">
        <v>71</v>
      </c>
      <c r="B17" s="88" t="s">
        <v>113</v>
      </c>
      <c r="C17" s="88" t="s">
        <v>114</v>
      </c>
      <c r="D17" s="88" t="s">
        <v>72</v>
      </c>
      <c r="E17" s="88" t="s">
        <v>234</v>
      </c>
      <c r="F17" s="88" t="s">
        <v>73</v>
      </c>
      <c r="G17" s="88" t="s">
        <v>155</v>
      </c>
      <c r="H17" s="88" t="s">
        <v>156</v>
      </c>
      <c r="I17" s="88" t="s">
        <v>215</v>
      </c>
      <c r="J17" s="88" t="s">
        <v>157</v>
      </c>
      <c r="K17" s="88" t="s">
        <v>216</v>
      </c>
      <c r="L17" s="88" t="s">
        <v>217</v>
      </c>
      <c r="M17" s="88" t="s">
        <v>160</v>
      </c>
    </row>
    <row r="18" spans="1:13" ht="14.25">
      <c r="A18" s="31" t="str">
        <f>+A7</f>
        <v>Leonardo</v>
      </c>
      <c r="B18" s="31">
        <f>+B7</f>
        <v>12500000</v>
      </c>
      <c r="C18" s="31">
        <f>+C7</f>
        <v>1500000</v>
      </c>
      <c r="D18" s="31">
        <f>+M18</f>
        <v>8925000</v>
      </c>
      <c r="E18" s="31"/>
      <c r="F18" s="31" t="s">
        <v>152</v>
      </c>
      <c r="G18" s="68">
        <v>41640</v>
      </c>
      <c r="H18" s="68">
        <v>42004</v>
      </c>
      <c r="I18" s="31">
        <f>+DAYS360(G18,H18)</f>
        <v>360</v>
      </c>
      <c r="J18" s="31">
        <f>+E7*1.02</f>
        <v>12750000</v>
      </c>
      <c r="K18" s="31">
        <f>+I18*$M$14/$L$14</f>
        <v>21</v>
      </c>
      <c r="L18" s="31">
        <f>+J18/30</f>
        <v>425000</v>
      </c>
      <c r="M18" s="31">
        <f>+K18*L18</f>
        <v>8925000</v>
      </c>
    </row>
    <row r="19" spans="1:13" ht="14.25">
      <c r="A19" s="31" t="str">
        <f>+A8</f>
        <v>Esther</v>
      </c>
      <c r="B19" s="31">
        <f aca="true" t="shared" si="0" ref="B19:C21">+B8</f>
        <v>3500000</v>
      </c>
      <c r="C19" s="31">
        <f t="shared" si="0"/>
        <v>420000</v>
      </c>
      <c r="D19" s="31">
        <f>+M19</f>
        <v>2499000</v>
      </c>
      <c r="E19" s="31"/>
      <c r="F19" s="31" t="s">
        <v>218</v>
      </c>
      <c r="G19" s="68">
        <v>41640</v>
      </c>
      <c r="H19" s="68">
        <v>42004</v>
      </c>
      <c r="I19" s="31">
        <f>+DAYS360(G19,H19)</f>
        <v>360</v>
      </c>
      <c r="J19" s="31">
        <f>+E8*1.02</f>
        <v>3570000</v>
      </c>
      <c r="K19" s="31">
        <f>+I19*$M$14/$L$14</f>
        <v>21</v>
      </c>
      <c r="L19" s="31">
        <f>+J19/30</f>
        <v>119000</v>
      </c>
      <c r="M19" s="31">
        <f>+K19*L19</f>
        <v>2499000</v>
      </c>
    </row>
    <row r="20" spans="1:13" ht="14.25">
      <c r="A20" s="31" t="str">
        <f>+A9</f>
        <v>Ángela</v>
      </c>
      <c r="B20" s="31">
        <f t="shared" si="0"/>
        <v>2500000</v>
      </c>
      <c r="C20" s="31">
        <f t="shared" si="0"/>
        <v>300000</v>
      </c>
      <c r="D20" s="31">
        <f>+M20</f>
        <v>1785000</v>
      </c>
      <c r="E20" s="31"/>
      <c r="F20" s="31" t="s">
        <v>153</v>
      </c>
      <c r="G20" s="68">
        <v>41640</v>
      </c>
      <c r="H20" s="68">
        <v>42004</v>
      </c>
      <c r="I20" s="31">
        <f>+DAYS360(G20,H20)</f>
        <v>360</v>
      </c>
      <c r="J20" s="31">
        <f>+E9*1.02</f>
        <v>2550000</v>
      </c>
      <c r="K20" s="31">
        <f>+I20*$M$14/$L$14</f>
        <v>21</v>
      </c>
      <c r="L20" s="31">
        <f>+J20/30</f>
        <v>85000</v>
      </c>
      <c r="M20" s="31">
        <f>+K20*L20</f>
        <v>1785000</v>
      </c>
    </row>
    <row r="21" spans="1:13" ht="14.25">
      <c r="A21" s="31" t="str">
        <f>+A10</f>
        <v>Camila</v>
      </c>
      <c r="B21" s="31">
        <f t="shared" si="0"/>
        <v>6345000</v>
      </c>
      <c r="C21" s="31">
        <f t="shared" si="0"/>
        <v>761400</v>
      </c>
      <c r="D21" s="31">
        <f>+M21</f>
        <v>4530330</v>
      </c>
      <c r="E21" s="31"/>
      <c r="F21" s="31" t="s">
        <v>154</v>
      </c>
      <c r="G21" s="68">
        <v>41640</v>
      </c>
      <c r="H21" s="68">
        <v>42004</v>
      </c>
      <c r="I21" s="31">
        <f>+DAYS360(G21,H21)</f>
        <v>360</v>
      </c>
      <c r="J21" s="31">
        <f>+E10*1.02</f>
        <v>6471900</v>
      </c>
      <c r="K21" s="31">
        <f>+I21*$M$14/$L$14</f>
        <v>21</v>
      </c>
      <c r="L21" s="31">
        <f>+J21/30</f>
        <v>215730</v>
      </c>
      <c r="M21" s="31">
        <f>+K21*L21</f>
        <v>4530330</v>
      </c>
    </row>
    <row r="22" spans="1:13" ht="15">
      <c r="A22" s="88" t="s">
        <v>4</v>
      </c>
      <c r="B22" s="45">
        <f>SUM(B18:B21)</f>
        <v>24845000</v>
      </c>
      <c r="C22" s="45">
        <f>SUM(C18:C21)</f>
        <v>2981400</v>
      </c>
      <c r="D22" s="45">
        <f>SUM(D18:D21)</f>
        <v>17739330</v>
      </c>
      <c r="E22" s="37"/>
      <c r="F22" s="37"/>
      <c r="K22" s="17" t="s">
        <v>83</v>
      </c>
      <c r="M22" s="46">
        <f>SUM(M18:M21)</f>
        <v>17739330</v>
      </c>
    </row>
    <row r="26" ht="15">
      <c r="A26" s="46" t="s">
        <v>95</v>
      </c>
    </row>
    <row r="27" spans="1:2" ht="14.25">
      <c r="A27" s="17" t="s">
        <v>342</v>
      </c>
      <c r="B27" s="17" t="s">
        <v>346</v>
      </c>
    </row>
    <row r="28" spans="1:2" ht="14.25">
      <c r="A28" s="17" t="s">
        <v>343</v>
      </c>
      <c r="B28" s="17" t="s">
        <v>347</v>
      </c>
    </row>
    <row r="29" spans="1:2" ht="14.25">
      <c r="A29" s="17" t="s">
        <v>344</v>
      </c>
      <c r="B29" s="17" t="s">
        <v>348</v>
      </c>
    </row>
    <row r="30" spans="1:2" ht="14.25">
      <c r="A30" s="17" t="s">
        <v>345</v>
      </c>
      <c r="B30" s="17" t="s">
        <v>349</v>
      </c>
    </row>
    <row r="35" spans="1:2" ht="14.25">
      <c r="A35" s="17" t="s">
        <v>115</v>
      </c>
      <c r="B35" s="17">
        <f>+B18</f>
        <v>12500000</v>
      </c>
    </row>
    <row r="36" spans="1:2" ht="14.25">
      <c r="A36" s="17" t="s">
        <v>73</v>
      </c>
      <c r="B36" s="17" t="s">
        <v>350</v>
      </c>
    </row>
    <row r="37" spans="1:4" ht="14.25">
      <c r="A37" s="17" t="s">
        <v>351</v>
      </c>
      <c r="B37" s="17" t="s">
        <v>352</v>
      </c>
      <c r="D37" s="158">
        <v>41090</v>
      </c>
    </row>
    <row r="38" spans="2:4" ht="14.25">
      <c r="B38" s="17" t="s">
        <v>356</v>
      </c>
      <c r="D38" s="158">
        <v>42004</v>
      </c>
    </row>
    <row r="39" spans="1:5" ht="15">
      <c r="A39" s="17" t="s">
        <v>353</v>
      </c>
      <c r="D39" s="46">
        <f>DAYS360(D37,D38)</f>
        <v>900</v>
      </c>
      <c r="E39" s="46" t="s">
        <v>357</v>
      </c>
    </row>
    <row r="40" ht="14.25">
      <c r="A40" s="17" t="s">
        <v>354</v>
      </c>
    </row>
    <row r="41" spans="1:3" ht="15">
      <c r="A41" s="46" t="s">
        <v>355</v>
      </c>
      <c r="B41" s="46">
        <f>+B35*D39/720</f>
        <v>15625000</v>
      </c>
      <c r="C41" s="17" t="s">
        <v>358</v>
      </c>
    </row>
    <row r="43" ht="14.25">
      <c r="A43" s="17" t="s">
        <v>359</v>
      </c>
    </row>
    <row r="45" spans="1:2" ht="14.25">
      <c r="A45" s="17" t="s">
        <v>360</v>
      </c>
      <c r="B45" s="159">
        <v>2015</v>
      </c>
    </row>
    <row r="46" spans="1:2" ht="14.25">
      <c r="A46" s="17" t="s">
        <v>361</v>
      </c>
      <c r="B46" s="17">
        <f>+B35*1.03</f>
        <v>12875000</v>
      </c>
    </row>
    <row r="47" spans="1:2" ht="14.25">
      <c r="A47" s="17" t="s">
        <v>355</v>
      </c>
      <c r="B47" s="17">
        <f>+D39</f>
        <v>900</v>
      </c>
    </row>
    <row r="48" spans="1:3" ht="15">
      <c r="A48" s="46" t="s">
        <v>362</v>
      </c>
      <c r="B48" s="46">
        <f>(900*19)/360</f>
        <v>47.5</v>
      </c>
      <c r="C48" s="17" t="s">
        <v>363</v>
      </c>
    </row>
    <row r="49" spans="1:2" ht="14.25">
      <c r="A49" s="17" t="s">
        <v>364</v>
      </c>
      <c r="B49" s="17">
        <f>+B46/30</f>
        <v>429166.6666666667</v>
      </c>
    </row>
    <row r="50" spans="1:2" ht="15">
      <c r="A50" s="46" t="s">
        <v>365</v>
      </c>
      <c r="B50" s="46">
        <f>+B49*B48</f>
        <v>20385416.666666668</v>
      </c>
    </row>
    <row r="53" ht="14.25">
      <c r="A53" s="17" t="s">
        <v>366</v>
      </c>
    </row>
    <row r="55" spans="1:3" ht="15">
      <c r="A55" s="46" t="s">
        <v>367</v>
      </c>
      <c r="B55" s="17">
        <f>+B35</f>
        <v>12500000</v>
      </c>
      <c r="C55" s="158">
        <v>39630</v>
      </c>
    </row>
    <row r="56" ht="14.25">
      <c r="C56" s="158">
        <v>42004</v>
      </c>
    </row>
    <row r="57" spans="3:4" ht="15">
      <c r="C57" s="46">
        <f>+DAYS360(C55,C56)</f>
        <v>2340</v>
      </c>
      <c r="D57" s="17">
        <f>+C57/360</f>
        <v>6.5</v>
      </c>
    </row>
    <row r="59" spans="1:4" ht="14.25">
      <c r="A59" s="17" t="s">
        <v>368</v>
      </c>
      <c r="B59" s="17" t="s">
        <v>371</v>
      </c>
      <c r="C59" s="118"/>
      <c r="D59" s="118"/>
    </row>
    <row r="60" spans="1:4" ht="14.25">
      <c r="A60" s="17" t="s">
        <v>369</v>
      </c>
      <c r="B60" s="17" t="s">
        <v>372</v>
      </c>
      <c r="C60" s="17">
        <f>+B55*(1.03)^(5)-1</f>
        <v>14490924.928749997</v>
      </c>
      <c r="D60" s="158">
        <v>43281</v>
      </c>
    </row>
    <row r="61" spans="1:4" ht="14.25">
      <c r="A61" s="17" t="s">
        <v>370</v>
      </c>
      <c r="B61" s="17" t="s">
        <v>372</v>
      </c>
      <c r="C61" s="17">
        <f>+B55*(1.03)^(10)-1</f>
        <v>16798953.741801523</v>
      </c>
      <c r="D61" s="158">
        <v>45107</v>
      </c>
    </row>
    <row r="63" spans="2:4" ht="15">
      <c r="B63" s="46" t="s">
        <v>373</v>
      </c>
      <c r="C63" s="46" t="s">
        <v>374</v>
      </c>
      <c r="D63" s="46" t="s">
        <v>160</v>
      </c>
    </row>
    <row r="64" spans="1:4" ht="14.25">
      <c r="A64" s="17" t="s">
        <v>369</v>
      </c>
      <c r="B64" s="17">
        <f>+C60*1.5</f>
        <v>21736387.393124998</v>
      </c>
      <c r="C64" s="17">
        <f>+C57</f>
        <v>2340</v>
      </c>
      <c r="D64" s="17">
        <f>+B64/(360*10)*C64</f>
        <v>14128651.805531247</v>
      </c>
    </row>
    <row r="65" spans="1:4" ht="14.25">
      <c r="A65" s="17" t="s">
        <v>370</v>
      </c>
      <c r="B65" s="17">
        <f>+C61*2</f>
        <v>33597907.483603045</v>
      </c>
      <c r="C65" s="17">
        <f>+C57</f>
        <v>2340</v>
      </c>
      <c r="D65" s="17">
        <f>+B65/(360*15)*C65</f>
        <v>14559093.242894653</v>
      </c>
    </row>
    <row r="66" ht="15">
      <c r="D66" s="46">
        <f>+D64+D65</f>
        <v>28687745.048425898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showGridLines="0" zoomScale="140" zoomScaleNormal="140"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5" sqref="E35"/>
    </sheetView>
  </sheetViews>
  <sheetFormatPr defaultColWidth="11.421875" defaultRowHeight="12.75"/>
  <cols>
    <col min="1" max="1" width="43.7109375" style="209" customWidth="1"/>
    <col min="2" max="2" width="21.57421875" style="233" customWidth="1"/>
    <col min="3" max="4" width="21.57421875" style="209" customWidth="1"/>
    <col min="5" max="5" width="21.57421875" style="223" customWidth="1"/>
    <col min="6" max="6" width="21.57421875" style="209" customWidth="1"/>
    <col min="7" max="7" width="15.7109375" style="209" bestFit="1" customWidth="1"/>
    <col min="8" max="8" width="18.28125" style="209" bestFit="1" customWidth="1"/>
    <col min="9" max="16384" width="11.421875" style="209" customWidth="1"/>
  </cols>
  <sheetData>
    <row r="1" spans="1:5" ht="25.5">
      <c r="A1" s="274" t="s">
        <v>173</v>
      </c>
      <c r="B1" s="275" t="s">
        <v>174</v>
      </c>
      <c r="C1" s="275"/>
      <c r="D1" s="275" t="s">
        <v>214</v>
      </c>
      <c r="E1" s="275"/>
    </row>
    <row r="2" spans="1:5" s="205" customFormat="1" ht="12.75">
      <c r="A2" s="203" t="s">
        <v>50</v>
      </c>
      <c r="B2" s="204"/>
      <c r="D2" s="204" t="s">
        <v>175</v>
      </c>
      <c r="E2" s="105" t="s">
        <v>129</v>
      </c>
    </row>
    <row r="3" spans="1:5" s="205" customFormat="1" ht="12.75">
      <c r="A3" s="203" t="s">
        <v>85</v>
      </c>
      <c r="B3" s="204"/>
      <c r="C3" s="204"/>
      <c r="D3" s="204"/>
      <c r="E3" s="206"/>
    </row>
    <row r="4" spans="1:5" ht="12.75">
      <c r="A4" s="276" t="s">
        <v>492</v>
      </c>
      <c r="B4" s="277" t="s">
        <v>704</v>
      </c>
      <c r="C4" s="277" t="s">
        <v>495</v>
      </c>
      <c r="D4" s="277" t="s">
        <v>496</v>
      </c>
      <c r="E4" s="277" t="s">
        <v>497</v>
      </c>
    </row>
    <row r="5" spans="2:7" ht="12.75">
      <c r="B5" s="210"/>
      <c r="C5" s="211"/>
      <c r="D5" s="211"/>
      <c r="E5" s="211"/>
      <c r="G5" s="212"/>
    </row>
    <row r="6" spans="1:7" ht="12.75">
      <c r="A6" s="213" t="s">
        <v>622</v>
      </c>
      <c r="B6" s="214">
        <f>+'Bal prueba 010115'!F6</f>
        <v>248254000</v>
      </c>
      <c r="C6" s="215">
        <f>+Inversiones!C99+Deudores!E40+Deudores!E41+Deudores!E39+Deudores!D23-Deudores!E23+Deudores!L72+Deudores!D24+Deudores!L19*12+Deudores!D96-Deudores!E96+Inventarios!D79+18750000+4000000</f>
        <v>20411040929</v>
      </c>
      <c r="D6" s="215">
        <f>+Inventarios!E38+Inventarios!E43+Inventarios!E85+'Otros activos'!D9+Pasivos!K13+Leasing!F184+Leasing!F54+254000000+6150000000+74896300+143000000+115000000</f>
        <v>20512537656.061573</v>
      </c>
      <c r="E6" s="215">
        <f aca="true" t="shared" si="0" ref="E6:E12">+B6+C6-D6</f>
        <v>146757272.93842697</v>
      </c>
      <c r="F6" s="216" t="s">
        <v>0</v>
      </c>
      <c r="G6" s="217"/>
    </row>
    <row r="7" spans="1:7" ht="12.75">
      <c r="A7" s="213" t="s">
        <v>623</v>
      </c>
      <c r="B7" s="214">
        <f>+'Bal prueba 010115'!F7</f>
        <v>537525000</v>
      </c>
      <c r="C7" s="215">
        <v>115000000</v>
      </c>
      <c r="D7" s="215">
        <v>1000000</v>
      </c>
      <c r="E7" s="215">
        <f t="shared" si="0"/>
        <v>651525000</v>
      </c>
      <c r="F7" s="216"/>
      <c r="G7" s="217"/>
    </row>
    <row r="8" spans="1:7" ht="12.75">
      <c r="A8" s="213" t="s">
        <v>300</v>
      </c>
      <c r="B8" s="214">
        <f>+'Bal prueba 010115'!F8</f>
        <v>1103590859.7188065</v>
      </c>
      <c r="C8" s="215">
        <f>+Deudores!E56+Deudores!E39</f>
        <v>6583870683.5796795</v>
      </c>
      <c r="D8" s="215">
        <f>+Deudores!E39+Deudores!D23-Deudores!E23+Deudores!L72+Deudores!D24+Deudores!L19*12</f>
        <v>6973564929</v>
      </c>
      <c r="E8" s="215">
        <f t="shared" si="0"/>
        <v>713896614.2984858</v>
      </c>
      <c r="F8" s="216" t="s">
        <v>0</v>
      </c>
      <c r="G8" s="217"/>
    </row>
    <row r="9" spans="1:7" ht="12.75">
      <c r="A9" s="213" t="s">
        <v>6</v>
      </c>
      <c r="B9" s="214">
        <f>+'Bal prueba 010115'!F9</f>
        <v>6551452</v>
      </c>
      <c r="C9" s="215"/>
      <c r="D9" s="215"/>
      <c r="E9" s="215">
        <f t="shared" si="0"/>
        <v>6551452</v>
      </c>
      <c r="F9" s="216"/>
      <c r="G9" s="217"/>
    </row>
    <row r="10" spans="1:7" ht="12.75">
      <c r="A10" s="213" t="s">
        <v>637</v>
      </c>
      <c r="B10" s="214">
        <f>+'Bal prueba 010115'!F10</f>
        <v>127526000</v>
      </c>
      <c r="C10" s="215">
        <f>+Deudores!E96</f>
        <v>135000000</v>
      </c>
      <c r="D10" s="215">
        <f>+Deudores!D96</f>
        <v>127526000</v>
      </c>
      <c r="E10" s="215">
        <f t="shared" si="0"/>
        <v>135000000</v>
      </c>
      <c r="F10" s="216"/>
      <c r="G10" s="217"/>
    </row>
    <row r="11" spans="1:7" ht="12.75">
      <c r="A11" s="213" t="s">
        <v>127</v>
      </c>
      <c r="B11" s="214">
        <f>+'Bal prueba 010115'!F11</f>
        <v>32109812.515217856</v>
      </c>
      <c r="C11" s="215">
        <f>++Deudores!D129</f>
        <v>3532079.3766739643</v>
      </c>
      <c r="D11" s="215">
        <f>+Deudores!C115</f>
        <v>18750000</v>
      </c>
      <c r="E11" s="215">
        <f t="shared" si="0"/>
        <v>16891891.891891822</v>
      </c>
      <c r="F11" s="216"/>
      <c r="G11" s="217"/>
    </row>
    <row r="12" spans="1:7" ht="12.75">
      <c r="A12" s="213" t="s">
        <v>16</v>
      </c>
      <c r="B12" s="214">
        <f>+'Bal prueba 010115'!F12</f>
        <v>217500000</v>
      </c>
      <c r="C12" s="215">
        <f>+'Otros activos'!D9</f>
        <v>196000000</v>
      </c>
      <c r="D12" s="215">
        <f>+'Otros activos'!D16+'Otros activos'!D17+'Otros activos'!D18+'Otros activos'!D19</f>
        <v>217500000</v>
      </c>
      <c r="E12" s="215">
        <f t="shared" si="0"/>
        <v>196000000</v>
      </c>
      <c r="F12" s="216"/>
      <c r="G12" s="217"/>
    </row>
    <row r="13" spans="1:7" ht="12.75">
      <c r="A13" s="213" t="s">
        <v>624</v>
      </c>
      <c r="B13" s="214">
        <f>+'Bal prueba 010115'!F13</f>
        <v>-245318416.87728727</v>
      </c>
      <c r="D13" s="215">
        <v>54000000</v>
      </c>
      <c r="E13" s="215">
        <f>+B13+C16-D13</f>
        <v>-299318416.87728727</v>
      </c>
      <c r="F13" s="216"/>
      <c r="G13" s="217"/>
    </row>
    <row r="14" spans="1:5" ht="12.75">
      <c r="A14" s="213" t="s">
        <v>133</v>
      </c>
      <c r="B14" s="214">
        <f>+'Bal prueba 010115'!F14</f>
        <v>67560000</v>
      </c>
      <c r="C14" s="215"/>
      <c r="D14" s="215"/>
      <c r="E14" s="215">
        <f aca="true" t="shared" si="1" ref="E14:E26">+B14+C14-D14</f>
        <v>67560000</v>
      </c>
    </row>
    <row r="15" spans="1:7" ht="12.75">
      <c r="A15" s="213" t="s">
        <v>15</v>
      </c>
      <c r="B15" s="214">
        <f>+'Bal prueba 010115'!F15</f>
        <v>1128537828</v>
      </c>
      <c r="C15" s="215">
        <f>+Inventarios!D37+Inventarios!D40+Inventarios!D41+Inventarios!D42</f>
        <v>12273577060</v>
      </c>
      <c r="D15" s="215">
        <f>+Deudores!E46</f>
        <v>8628300000</v>
      </c>
      <c r="E15" s="215">
        <f t="shared" si="1"/>
        <v>4773814888</v>
      </c>
      <c r="G15" s="218"/>
    </row>
    <row r="16" spans="1:5" ht="12.75">
      <c r="A16" s="213" t="s">
        <v>636</v>
      </c>
      <c r="B16" s="214">
        <f>+'Bal prueba 010115'!F16</f>
        <v>-25000000</v>
      </c>
      <c r="C16" s="215">
        <v>0</v>
      </c>
      <c r="D16" s="215"/>
      <c r="E16" s="215">
        <f t="shared" si="1"/>
        <v>-25000000</v>
      </c>
    </row>
    <row r="17" spans="1:5" ht="12.75">
      <c r="A17" s="213" t="s">
        <v>625</v>
      </c>
      <c r="B17" s="214">
        <f>+'Bal prueba 010115'!F17</f>
        <v>105000000</v>
      </c>
      <c r="C17" s="215">
        <f>+Inversiones!D28</f>
        <v>40000000</v>
      </c>
      <c r="D17" s="215"/>
      <c r="E17" s="215">
        <f t="shared" si="1"/>
        <v>145000000</v>
      </c>
    </row>
    <row r="18" spans="1:5" ht="12.75">
      <c r="A18" s="213" t="s">
        <v>626</v>
      </c>
      <c r="B18" s="214">
        <f>+'Bal prueba 010115'!F18</f>
        <v>3116000000</v>
      </c>
      <c r="C18" s="215"/>
      <c r="D18" s="215">
        <f>-Inversiones!D29</f>
        <v>960000000</v>
      </c>
      <c r="E18" s="215">
        <f t="shared" si="1"/>
        <v>2156000000</v>
      </c>
    </row>
    <row r="19" spans="1:5" ht="12.75">
      <c r="A19" s="213" t="s">
        <v>627</v>
      </c>
      <c r="B19" s="214">
        <f>+'Bal prueba 010115'!F19</f>
        <v>456000000</v>
      </c>
      <c r="C19" s="215"/>
      <c r="D19" s="215"/>
      <c r="E19" s="215">
        <f t="shared" si="1"/>
        <v>456000000</v>
      </c>
    </row>
    <row r="20" spans="1:5" ht="12.75">
      <c r="A20" s="213" t="s">
        <v>628</v>
      </c>
      <c r="B20" s="214">
        <f>+'Bal prueba 010115'!F20</f>
        <v>850000000</v>
      </c>
      <c r="C20" s="215"/>
      <c r="D20" s="215"/>
      <c r="E20" s="215">
        <f t="shared" si="1"/>
        <v>850000000</v>
      </c>
    </row>
    <row r="21" spans="1:5" ht="12.75">
      <c r="A21" s="213" t="s">
        <v>629</v>
      </c>
      <c r="B21" s="214">
        <f>+'Bal prueba 010115'!F21</f>
        <v>120698548.00191653</v>
      </c>
      <c r="C21" s="215">
        <f>+Inversiones!C96+1</f>
        <v>501452.4880833657</v>
      </c>
      <c r="D21" s="215">
        <f>++Inversiones!D98</f>
        <v>121200000</v>
      </c>
      <c r="E21" s="215">
        <f t="shared" si="1"/>
        <v>0.4899998903274536</v>
      </c>
    </row>
    <row r="22" spans="1:6" ht="12.75">
      <c r="A22" s="213" t="s">
        <v>630</v>
      </c>
      <c r="B22" s="214">
        <f>+'Bal prueba 010115'!F22</f>
        <v>337500000</v>
      </c>
      <c r="C22" s="215">
        <f>+Inventarios!D84+Inventarios!D88</f>
        <v>432500000</v>
      </c>
      <c r="D22" s="215">
        <f>+Inventarios!E82</f>
        <v>320000000</v>
      </c>
      <c r="E22" s="215">
        <f t="shared" si="1"/>
        <v>450000000</v>
      </c>
      <c r="F22" s="218" t="s">
        <v>0</v>
      </c>
    </row>
    <row r="23" spans="1:5" ht="12.75">
      <c r="A23" s="213" t="s">
        <v>638</v>
      </c>
      <c r="B23" s="214">
        <f>+'Bal prueba 010115'!F23</f>
        <v>700000000</v>
      </c>
      <c r="C23" s="215">
        <f>+PPYE!G22-PPYE!G20</f>
        <v>50000000</v>
      </c>
      <c r="D23" s="215"/>
      <c r="E23" s="215">
        <f t="shared" si="1"/>
        <v>750000000</v>
      </c>
    </row>
    <row r="24" spans="1:6" ht="12.75">
      <c r="A24" s="213" t="s">
        <v>23</v>
      </c>
      <c r="B24" s="214">
        <f>+'Bal prueba 010115'!F24</f>
        <v>8715765951.442322</v>
      </c>
      <c r="C24" s="215"/>
      <c r="D24" s="215">
        <f>+PPYE!J17</f>
        <v>406462186.99739504</v>
      </c>
      <c r="E24" s="215">
        <f t="shared" si="1"/>
        <v>8309303764.444927</v>
      </c>
      <c r="F24" s="218"/>
    </row>
    <row r="25" spans="1:5" ht="12.75">
      <c r="A25" s="213" t="s">
        <v>631</v>
      </c>
      <c r="B25" s="214">
        <f>+'Bal prueba 010115'!F25</f>
        <v>230000000</v>
      </c>
      <c r="C25" s="215"/>
      <c r="D25" s="215">
        <v>35000000</v>
      </c>
      <c r="E25" s="215">
        <f t="shared" si="1"/>
        <v>195000000</v>
      </c>
    </row>
    <row r="26" spans="1:5" ht="12.75">
      <c r="A26" s="213" t="s">
        <v>89</v>
      </c>
      <c r="B26" s="214">
        <f>+'Bal prueba 010115'!F26</f>
        <v>0</v>
      </c>
      <c r="C26" s="215"/>
      <c r="D26" s="215"/>
      <c r="E26" s="215">
        <f t="shared" si="1"/>
        <v>0</v>
      </c>
    </row>
    <row r="27" spans="1:5" ht="12.75">
      <c r="A27" s="220" t="s">
        <v>80</v>
      </c>
      <c r="B27" s="221">
        <f>SUM(B6:B26)</f>
        <v>17829801034.800976</v>
      </c>
      <c r="C27" s="222">
        <f>SUM(C6:C26)</f>
        <v>40241022204.44444</v>
      </c>
      <c r="D27" s="222">
        <f>SUM(D6:D26)</f>
        <v>38375840772.05897</v>
      </c>
      <c r="E27" s="222">
        <f>SUM(E6:E26)</f>
        <v>19694982467.186447</v>
      </c>
    </row>
    <row r="28" ht="12.75">
      <c r="B28" s="211"/>
    </row>
    <row r="29" spans="1:5" ht="12.75">
      <c r="A29" s="224" t="s">
        <v>25</v>
      </c>
      <c r="B29" s="225"/>
      <c r="C29" s="226"/>
      <c r="D29" s="227"/>
      <c r="E29" s="226"/>
    </row>
    <row r="30" spans="1:5" ht="12.75">
      <c r="A30" s="213" t="s">
        <v>632</v>
      </c>
      <c r="B30" s="214">
        <f>+'Bal prueba 010115'!F30</f>
        <v>609250000</v>
      </c>
      <c r="C30" s="215">
        <f>21000000+609250000</f>
        <v>630250000</v>
      </c>
      <c r="D30" s="215">
        <f>B30</f>
        <v>609250000</v>
      </c>
      <c r="E30" s="215">
        <f>+B30+D30-C30</f>
        <v>588250000</v>
      </c>
    </row>
    <row r="31" spans="1:5" ht="12.75">
      <c r="A31" s="213" t="s">
        <v>70</v>
      </c>
      <c r="B31" s="214">
        <f>+'Bal prueba 010115'!F31</f>
        <v>1350000000</v>
      </c>
      <c r="C31" s="215">
        <f>+B31</f>
        <v>1350000000</v>
      </c>
      <c r="D31" s="215">
        <f>423000000+B31</f>
        <v>1773000000</v>
      </c>
      <c r="E31" s="215">
        <f aca="true" t="shared" si="2" ref="E31:E37">+B31+D31-C31</f>
        <v>1773000000</v>
      </c>
    </row>
    <row r="32" spans="1:5" ht="12.75">
      <c r="A32" s="213" t="s">
        <v>633</v>
      </c>
      <c r="B32" s="214">
        <f>+'Bal prueba 010115'!F32</f>
        <v>25625000</v>
      </c>
      <c r="C32" s="215">
        <f>14380000+B32</f>
        <v>40005000</v>
      </c>
      <c r="D32" s="215">
        <f>+B32</f>
        <v>25625000</v>
      </c>
      <c r="E32" s="215">
        <f t="shared" si="2"/>
        <v>11245000</v>
      </c>
    </row>
    <row r="33" spans="1:5" ht="12.75">
      <c r="A33" s="213" t="s">
        <v>27</v>
      </c>
      <c r="B33" s="214">
        <f>+'Bal prueba 010115'!F33</f>
        <v>45565730</v>
      </c>
      <c r="C33" s="215">
        <f>+B33</f>
        <v>45565730</v>
      </c>
      <c r="D33" s="215">
        <f>6500000+B33</f>
        <v>52065730</v>
      </c>
      <c r="E33" s="215">
        <f t="shared" si="2"/>
        <v>52065730</v>
      </c>
    </row>
    <row r="34" spans="1:5" ht="12.75">
      <c r="A34" s="213" t="s">
        <v>634</v>
      </c>
      <c r="B34" s="214">
        <f>+'Bal prueba 010115'!F34</f>
        <v>2279789491.3055296</v>
      </c>
      <c r="C34" s="215">
        <f>+Pasivos!K13+Leasing!F184-Leasing!F185+Leasing!F54-Leasing!F55</f>
        <v>818639861.4198937</v>
      </c>
      <c r="D34" s="215">
        <f>+Pasivos!L13</f>
        <v>190911662.26504412</v>
      </c>
      <c r="E34" s="215">
        <f t="shared" si="2"/>
        <v>1652061292.15068</v>
      </c>
    </row>
    <row r="35" spans="1:5" ht="12.75">
      <c r="A35" s="213" t="s">
        <v>130</v>
      </c>
      <c r="B35" s="214">
        <f>+'Bal prueba 010115'!F35</f>
        <v>254000000</v>
      </c>
      <c r="C35" s="215">
        <v>254000000</v>
      </c>
      <c r="D35" s="215">
        <v>516000000</v>
      </c>
      <c r="E35" s="215">
        <f t="shared" si="2"/>
        <v>516000000</v>
      </c>
    </row>
    <row r="36" spans="1:5" ht="12.75">
      <c r="A36" s="213" t="s">
        <v>90</v>
      </c>
      <c r="B36" s="214">
        <f>+'Bal prueba 010115'!F36</f>
        <v>611620977.999682</v>
      </c>
      <c r="C36" s="215"/>
      <c r="D36" s="215">
        <v>143000000</v>
      </c>
      <c r="E36" s="215">
        <f t="shared" si="2"/>
        <v>754620977.999682</v>
      </c>
    </row>
    <row r="37" spans="1:5" ht="12.75">
      <c r="A37" s="213" t="s">
        <v>635</v>
      </c>
      <c r="B37" s="214">
        <f>+'Bal prueba 010115'!F37</f>
        <v>331431456.5111759</v>
      </c>
      <c r="C37" s="215"/>
      <c r="D37" s="215">
        <f>35263000+35000000</f>
        <v>70263000</v>
      </c>
      <c r="E37" s="215">
        <f t="shared" si="2"/>
        <v>401694456.5111759</v>
      </c>
    </row>
    <row r="38" spans="1:5" ht="12.75">
      <c r="A38" s="224" t="s">
        <v>81</v>
      </c>
      <c r="B38" s="228">
        <f>SUM(B30:B37)</f>
        <v>5507282655.816388</v>
      </c>
      <c r="C38" s="222">
        <f>SUM(C30:C37)</f>
        <v>3138460591.4198937</v>
      </c>
      <c r="D38" s="222">
        <f>SUM(D30:D37)</f>
        <v>3380115392.265044</v>
      </c>
      <c r="E38" s="222">
        <f>SUM(E30:E37)</f>
        <v>5748937456.661538</v>
      </c>
    </row>
    <row r="39" spans="2:5" ht="12.75">
      <c r="B39" s="229"/>
      <c r="C39" s="229"/>
      <c r="D39" s="229"/>
      <c r="E39" s="229"/>
    </row>
    <row r="40" spans="1:6" ht="12.75">
      <c r="A40" s="224" t="s">
        <v>28</v>
      </c>
      <c r="B40" s="222">
        <f>SUM(B41:B44)</f>
        <v>12322518378.982498</v>
      </c>
      <c r="C40" s="222">
        <f>SUM(C41:C44)</f>
        <v>526640957</v>
      </c>
      <c r="D40" s="222">
        <f>SUM(D41:D44)</f>
        <v>2150167588.5403175</v>
      </c>
      <c r="E40" s="222">
        <f>SUM(E41:E44)</f>
        <v>13946045010.522816</v>
      </c>
      <c r="F40" s="230"/>
    </row>
    <row r="41" spans="1:6" ht="12.75">
      <c r="A41" s="213" t="s">
        <v>51</v>
      </c>
      <c r="B41" s="214">
        <f>+'Bal prueba 010115'!F41</f>
        <v>3863708769</v>
      </c>
      <c r="C41" s="215"/>
      <c r="D41" s="215"/>
      <c r="E41" s="215">
        <f>+B41+D41-C41</f>
        <v>3863708769</v>
      </c>
      <c r="F41" s="209" t="s">
        <v>0</v>
      </c>
    </row>
    <row r="42" spans="1:6" ht="12.75">
      <c r="A42" s="213" t="s">
        <v>20</v>
      </c>
      <c r="B42" s="214">
        <f>+'Bal prueba 010115'!F43</f>
        <v>526640957</v>
      </c>
      <c r="C42" s="215">
        <f>+B42</f>
        <v>526640957</v>
      </c>
      <c r="D42" s="215">
        <f>+E83</f>
        <v>1623526631.5403175</v>
      </c>
      <c r="E42" s="215">
        <f>+B42+D42-C42</f>
        <v>1623526631.5403175</v>
      </c>
      <c r="F42" s="209" t="s">
        <v>0</v>
      </c>
    </row>
    <row r="43" spans="1:5" ht="12.75">
      <c r="A43" s="231" t="s">
        <v>494</v>
      </c>
      <c r="B43" s="214">
        <f>+'Bal prueba 010115'!F44</f>
        <v>7932168652.982499</v>
      </c>
      <c r="C43" s="215"/>
      <c r="D43" s="215">
        <f>+B42</f>
        <v>526640957</v>
      </c>
      <c r="E43" s="215">
        <f>+B43+D43-C43</f>
        <v>8458809609.982499</v>
      </c>
    </row>
    <row r="44" spans="2:3" ht="12.75">
      <c r="B44" s="211"/>
      <c r="C44" s="223"/>
    </row>
    <row r="45" spans="1:5" ht="12.75">
      <c r="A45" s="224" t="s">
        <v>82</v>
      </c>
      <c r="B45" s="222">
        <f>+B38+B40</f>
        <v>17829801034.798885</v>
      </c>
      <c r="C45" s="222">
        <f>+C38+C40</f>
        <v>3665101548.4198937</v>
      </c>
      <c r="D45" s="222">
        <f>+D38+D40</f>
        <v>5530282980.805362</v>
      </c>
      <c r="E45" s="222">
        <f>+E38+E40</f>
        <v>19694982467.184353</v>
      </c>
    </row>
    <row r="47" spans="2:5" ht="12.75">
      <c r="B47" s="232">
        <f>+B45-B27</f>
        <v>-0.0020904541015625</v>
      </c>
      <c r="C47" s="233">
        <f>+C45+C27</f>
        <v>43906123752.864334</v>
      </c>
      <c r="D47" s="233">
        <f>+D45+D27</f>
        <v>43906123752.86433</v>
      </c>
      <c r="E47" s="233">
        <f>+E45-E27</f>
        <v>-0.002094268798828125</v>
      </c>
    </row>
    <row r="49" spans="2:5" ht="12.75">
      <c r="B49" s="208" t="s">
        <v>493</v>
      </c>
      <c r="C49" s="208" t="s">
        <v>495</v>
      </c>
      <c r="D49" s="208" t="s">
        <v>496</v>
      </c>
      <c r="E49" s="208" t="s">
        <v>497</v>
      </c>
    </row>
    <row r="50" spans="1:5" s="235" customFormat="1" ht="12.75">
      <c r="A50" s="234" t="s">
        <v>498</v>
      </c>
      <c r="B50" s="229"/>
      <c r="C50" s="229"/>
      <c r="D50" s="229"/>
      <c r="E50" s="229"/>
    </row>
    <row r="51" spans="1:5" ht="12.75">
      <c r="A51" s="224" t="s">
        <v>527</v>
      </c>
      <c r="B51" s="222">
        <f>SUM(B52:B62)</f>
        <v>0</v>
      </c>
      <c r="C51" s="222">
        <f>SUM(C52:C62)</f>
        <v>920000000</v>
      </c>
      <c r="D51" s="222">
        <f>SUM(D52:D62)</f>
        <v>20196387914.444435</v>
      </c>
      <c r="E51" s="222">
        <f>SUM(E52:E62)</f>
        <v>19276387914.444435</v>
      </c>
    </row>
    <row r="52" spans="1:5" ht="12.75">
      <c r="A52" s="213" t="s">
        <v>548</v>
      </c>
      <c r="B52" s="215"/>
      <c r="C52" s="215"/>
      <c r="D52" s="215">
        <f>+Deudores!E37</f>
        <v>19174000000</v>
      </c>
      <c r="E52" s="215">
        <f>+B52+D52-C52</f>
        <v>19174000000</v>
      </c>
    </row>
    <row r="53" spans="1:5" ht="12.75">
      <c r="A53" s="213" t="s">
        <v>499</v>
      </c>
      <c r="B53" s="215"/>
      <c r="C53" s="215"/>
      <c r="D53" s="215">
        <f>+Inventarios!E78</f>
        <v>650000000</v>
      </c>
      <c r="E53" s="215">
        <f aca="true" t="shared" si="3" ref="E53:E62">+B53+D53-C53</f>
        <v>650000000</v>
      </c>
    </row>
    <row r="54" spans="1:6" ht="25.5">
      <c r="A54" s="213" t="s">
        <v>589</v>
      </c>
      <c r="B54" s="215"/>
      <c r="C54" s="215"/>
      <c r="D54" s="215">
        <f>+Inventarios!E87</f>
        <v>34500000</v>
      </c>
      <c r="E54" s="215">
        <f t="shared" si="3"/>
        <v>34500000</v>
      </c>
      <c r="F54" s="209" t="s">
        <v>0</v>
      </c>
    </row>
    <row r="55" spans="1:7" ht="12.75">
      <c r="A55" s="213" t="s">
        <v>500</v>
      </c>
      <c r="B55" s="215"/>
      <c r="C55" s="215"/>
      <c r="D55" s="215"/>
      <c r="E55" s="215">
        <f t="shared" si="3"/>
        <v>0</v>
      </c>
      <c r="G55" s="236"/>
    </row>
    <row r="56" spans="1:7" ht="12.75">
      <c r="A56" s="213" t="s">
        <v>288</v>
      </c>
      <c r="B56" s="215"/>
      <c r="C56" s="215"/>
      <c r="D56" s="215">
        <f>+Inversiones!D95+Deudores!E56+Deudores!E130</f>
        <v>64904214.444436535</v>
      </c>
      <c r="E56" s="215">
        <f t="shared" si="3"/>
        <v>64904214.444436535</v>
      </c>
      <c r="G56" s="236"/>
    </row>
    <row r="57" spans="1:5" ht="12.75">
      <c r="A57" s="213" t="s">
        <v>501</v>
      </c>
      <c r="B57" s="215"/>
      <c r="C57" s="215"/>
      <c r="D57" s="215">
        <v>65436700</v>
      </c>
      <c r="E57" s="215">
        <f t="shared" si="3"/>
        <v>65436700</v>
      </c>
    </row>
    <row r="58" spans="1:5" ht="25.5">
      <c r="A58" s="213" t="s">
        <v>529</v>
      </c>
      <c r="B58" s="215"/>
      <c r="C58" s="215">
        <f>+Inversiones!D30</f>
        <v>920000000</v>
      </c>
      <c r="D58" s="215"/>
      <c r="E58" s="215">
        <f t="shared" si="3"/>
        <v>-920000000</v>
      </c>
    </row>
    <row r="59" spans="1:5" ht="25.5">
      <c r="A59" s="213" t="s">
        <v>609</v>
      </c>
      <c r="B59" s="215"/>
      <c r="C59" s="215"/>
      <c r="D59" s="215">
        <f>+PPYE!G22-PPYE!G20</f>
        <v>50000000</v>
      </c>
      <c r="E59" s="215">
        <f t="shared" si="3"/>
        <v>50000000</v>
      </c>
    </row>
    <row r="60" spans="1:5" ht="12.75">
      <c r="A60" s="213" t="s">
        <v>502</v>
      </c>
      <c r="B60" s="215"/>
      <c r="C60" s="215"/>
      <c r="D60" s="215">
        <v>36547000</v>
      </c>
      <c r="E60" s="215">
        <f t="shared" si="3"/>
        <v>36547000</v>
      </c>
    </row>
    <row r="61" spans="1:5" ht="12.75">
      <c r="A61" s="213" t="s">
        <v>503</v>
      </c>
      <c r="B61" s="215"/>
      <c r="C61" s="215"/>
      <c r="D61" s="215">
        <v>45000000</v>
      </c>
      <c r="E61" s="215">
        <f t="shared" si="3"/>
        <v>45000000</v>
      </c>
    </row>
    <row r="62" spans="1:5" ht="12.75">
      <c r="A62" s="213" t="s">
        <v>147</v>
      </c>
      <c r="B62" s="215"/>
      <c r="C62" s="215"/>
      <c r="D62" s="215">
        <v>76000000</v>
      </c>
      <c r="E62" s="215">
        <f t="shared" si="3"/>
        <v>76000000</v>
      </c>
    </row>
    <row r="63" spans="1:5" s="235" customFormat="1" ht="12.75">
      <c r="A63" s="234"/>
      <c r="B63" s="229"/>
      <c r="C63" s="229"/>
      <c r="D63" s="229"/>
      <c r="E63" s="229"/>
    </row>
    <row r="64" spans="1:5" ht="12.75">
      <c r="A64" s="224" t="s">
        <v>528</v>
      </c>
      <c r="B64" s="222">
        <f>SUM(B65:B82)</f>
        <v>0</v>
      </c>
      <c r="C64" s="222">
        <f>SUM(C65:C82)</f>
        <v>17652861282.904118</v>
      </c>
      <c r="D64" s="222">
        <f>SUM(D65:D82)</f>
        <v>0</v>
      </c>
      <c r="E64" s="222">
        <f>SUM(E65:E82)</f>
        <v>17652861282.904118</v>
      </c>
    </row>
    <row r="65" spans="1:7" ht="12.75">
      <c r="A65" s="213" t="s">
        <v>260</v>
      </c>
      <c r="B65" s="215"/>
      <c r="C65" s="215">
        <f>+Deudores!E46+3550000000-7500002</f>
        <v>12170799998</v>
      </c>
      <c r="D65" s="215"/>
      <c r="E65" s="215">
        <f>+B65+C65-D65</f>
        <v>12170799998</v>
      </c>
      <c r="G65" s="209" t="s">
        <v>0</v>
      </c>
    </row>
    <row r="66" spans="1:5" ht="12.75">
      <c r="A66" s="213" t="s">
        <v>586</v>
      </c>
      <c r="B66" s="215"/>
      <c r="C66" s="215">
        <f>+Inventarios!D81</f>
        <v>320000000</v>
      </c>
      <c r="D66" s="215"/>
      <c r="E66" s="215">
        <f aca="true" t="shared" si="4" ref="E66:E82">+B66+C66-D66</f>
        <v>320000000</v>
      </c>
    </row>
    <row r="67" spans="1:5" ht="12.75">
      <c r="A67" s="213" t="s">
        <v>591</v>
      </c>
      <c r="B67" s="215"/>
      <c r="C67" s="215">
        <v>4500001</v>
      </c>
      <c r="D67" s="215">
        <v>0</v>
      </c>
      <c r="E67" s="215">
        <f t="shared" si="4"/>
        <v>4500001</v>
      </c>
    </row>
    <row r="68" spans="1:5" ht="12.75">
      <c r="A68" s="213" t="s">
        <v>504</v>
      </c>
      <c r="B68" s="215"/>
      <c r="C68" s="215">
        <f>6500000+1654000000</f>
        <v>1660500000</v>
      </c>
      <c r="D68" s="215"/>
      <c r="E68" s="215">
        <f t="shared" si="4"/>
        <v>1660500000</v>
      </c>
    </row>
    <row r="69" spans="1:5" ht="12.75">
      <c r="A69" s="213" t="s">
        <v>505</v>
      </c>
      <c r="B69" s="215"/>
      <c r="C69" s="215">
        <f>+'Otros activos'!D16+54000000</f>
        <v>66500000</v>
      </c>
      <c r="D69" s="215"/>
      <c r="E69" s="215">
        <f t="shared" si="4"/>
        <v>66500000</v>
      </c>
    </row>
    <row r="70" spans="1:5" ht="12.75">
      <c r="A70" s="213" t="s">
        <v>506</v>
      </c>
      <c r="B70" s="215"/>
      <c r="C70" s="215">
        <v>543200000</v>
      </c>
      <c r="D70" s="215"/>
      <c r="E70" s="215">
        <f t="shared" si="4"/>
        <v>543200000</v>
      </c>
    </row>
    <row r="71" spans="1:6" ht="12.75">
      <c r="A71" s="213" t="s">
        <v>618</v>
      </c>
      <c r="B71" s="215"/>
      <c r="C71" s="215">
        <v>654300000</v>
      </c>
      <c r="D71" s="215"/>
      <c r="E71" s="215">
        <f t="shared" si="4"/>
        <v>654300000</v>
      </c>
      <c r="F71" s="218"/>
    </row>
    <row r="72" spans="1:5" ht="12.75">
      <c r="A72" s="213" t="s">
        <v>507</v>
      </c>
      <c r="B72" s="215"/>
      <c r="C72" s="215">
        <f>+'Otros activos'!D18</f>
        <v>85000000</v>
      </c>
      <c r="D72" s="215"/>
      <c r="E72" s="215">
        <f t="shared" si="4"/>
        <v>85000000</v>
      </c>
    </row>
    <row r="73" spans="1:5" ht="12.75">
      <c r="A73" s="213" t="s">
        <v>508</v>
      </c>
      <c r="B73" s="215"/>
      <c r="C73" s="215">
        <f>+PPYE!J17</f>
        <v>406462186.99739504</v>
      </c>
      <c r="D73" s="215"/>
      <c r="E73" s="215">
        <f t="shared" si="4"/>
        <v>406462186.99739504</v>
      </c>
    </row>
    <row r="74" spans="1:6" ht="12.75">
      <c r="A74" s="213" t="s">
        <v>615</v>
      </c>
      <c r="B74" s="215"/>
      <c r="C74" s="215">
        <f>+'Otros activos'!D17+523000000</f>
        <v>588000000</v>
      </c>
      <c r="D74" s="215"/>
      <c r="E74" s="215">
        <f t="shared" si="4"/>
        <v>588000000</v>
      </c>
      <c r="F74" s="209" t="s">
        <v>0</v>
      </c>
    </row>
    <row r="75" spans="1:5" ht="12.75">
      <c r="A75" s="213" t="s">
        <v>509</v>
      </c>
      <c r="B75" s="215"/>
      <c r="C75" s="215">
        <f>+'Otros activos'!D19</f>
        <v>55000000</v>
      </c>
      <c r="D75" s="215"/>
      <c r="E75" s="215">
        <f t="shared" si="4"/>
        <v>55000000</v>
      </c>
    </row>
    <row r="76" spans="1:5" ht="12.75">
      <c r="A76" s="213" t="s">
        <v>510</v>
      </c>
      <c r="B76" s="215"/>
      <c r="C76" s="215">
        <v>35000000</v>
      </c>
      <c r="D76" s="215"/>
      <c r="E76" s="215">
        <f t="shared" si="4"/>
        <v>35000000</v>
      </c>
    </row>
    <row r="77" spans="1:5" ht="12.75">
      <c r="A77" s="213" t="s">
        <v>511</v>
      </c>
      <c r="B77" s="215"/>
      <c r="C77" s="215">
        <v>35000000</v>
      </c>
      <c r="D77" s="215"/>
      <c r="E77" s="215">
        <f t="shared" si="4"/>
        <v>35000000</v>
      </c>
    </row>
    <row r="78" spans="1:7" ht="12.75">
      <c r="A78" s="213" t="s">
        <v>619</v>
      </c>
      <c r="B78" s="215"/>
      <c r="C78" s="215">
        <v>54000000</v>
      </c>
      <c r="D78" s="215"/>
      <c r="E78" s="215">
        <f t="shared" si="4"/>
        <v>54000000</v>
      </c>
      <c r="G78" s="218"/>
    </row>
    <row r="79" spans="1:5" ht="12.75">
      <c r="A79" s="213" t="s">
        <v>636</v>
      </c>
      <c r="B79" s="215"/>
      <c r="C79" s="215">
        <v>0</v>
      </c>
      <c r="D79" s="215"/>
      <c r="E79" s="215">
        <f t="shared" si="4"/>
        <v>0</v>
      </c>
    </row>
    <row r="80" spans="1:5" ht="12.75">
      <c r="A80" s="213" t="s">
        <v>512</v>
      </c>
      <c r="B80" s="215"/>
      <c r="C80" s="215">
        <f>+Pasivos!L13+Leasing!F55+Leasing!F185+35263000</f>
        <v>315599096.9067236</v>
      </c>
      <c r="D80" s="215"/>
      <c r="E80" s="215">
        <f t="shared" si="4"/>
        <v>315599096.9067236</v>
      </c>
    </row>
    <row r="81" spans="1:5" ht="12.75">
      <c r="A81" s="213" t="s">
        <v>621</v>
      </c>
      <c r="B81" s="215"/>
      <c r="C81" s="215">
        <v>143000000</v>
      </c>
      <c r="D81" s="215"/>
      <c r="E81" s="215">
        <f t="shared" si="4"/>
        <v>143000000</v>
      </c>
    </row>
    <row r="82" spans="1:5" ht="12.75">
      <c r="A82" s="213" t="s">
        <v>620</v>
      </c>
      <c r="B82" s="222"/>
      <c r="C82" s="215">
        <v>516000000</v>
      </c>
      <c r="D82" s="222"/>
      <c r="E82" s="215">
        <f t="shared" si="4"/>
        <v>516000000</v>
      </c>
    </row>
    <row r="83" spans="1:5" ht="12.75">
      <c r="A83" s="224" t="s">
        <v>513</v>
      </c>
      <c r="B83" s="222">
        <f>+B51-B64</f>
        <v>0</v>
      </c>
      <c r="C83" s="222">
        <f>+C51-C64</f>
        <v>-16732861282.904118</v>
      </c>
      <c r="D83" s="222">
        <f>+D51-D64</f>
        <v>20196387914.444435</v>
      </c>
      <c r="E83" s="222">
        <f>+E51-E64</f>
        <v>1623526631.5403175</v>
      </c>
    </row>
    <row r="87" ht="12.75">
      <c r="A87" s="212"/>
    </row>
  </sheetData>
  <sheetProtection/>
  <hyperlinks>
    <hyperlink ref="E2" r:id="rId1" display="leovarong@yahoo.com"/>
    <hyperlink ref="A23" location="PPYE!A1" display="Propiedades de inversión"/>
    <hyperlink ref="A24" location="PPYE!A1" display="Propiedad, planta y equipo"/>
    <hyperlink ref="A41" location="Patrimonio!A1" display="Capital suscrito y pagado"/>
    <hyperlink ref="A42" location="Patrimonio!A1" display="Utilidad  del ejercicio"/>
    <hyperlink ref="A26" location="'Imp diferidos'!A1" display="Activo x impuestos diferidos"/>
    <hyperlink ref="A15" location="Inventarios!A1" display="Inventarios "/>
    <hyperlink ref="A22" location="Inventarios!A1" display="Activos biológicos"/>
    <hyperlink ref="A14" location="Deudores!A1" display="Activos por impuestos corrientes"/>
    <hyperlink ref="A25" location="'Otros activos'!A1" display="Intangibles"/>
    <hyperlink ref="A6" location="Efectivo!A1" display="Efectivo y equivalentes"/>
    <hyperlink ref="A37" location="Pasivos!A1" display="Pasivos por provisiones"/>
    <hyperlink ref="A36" location="'Imp diferidos'!A1" display="Pasivos x impuestos diferidos"/>
  </hyperlinks>
  <printOptions/>
  <pageMargins left="0.3937007874015748" right="0.3937007874015748" top="0.3937007874015748" bottom="0.3937007874015748" header="0" footer="0"/>
  <pageSetup fitToHeight="0" fitToWidth="1" horizontalDpi="120" verticalDpi="120" orientation="landscape" scale="78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PageLayoutView="0" workbookViewId="0" topLeftCell="A1">
      <pane xSplit="1" ySplit="3" topLeftCell="B2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11.421875" defaultRowHeight="12.75"/>
  <cols>
    <col min="1" max="1" width="30.8515625" style="29" customWidth="1"/>
    <col min="2" max="6" width="16.8515625" style="29" customWidth="1"/>
    <col min="7" max="7" width="14.140625" style="29" bestFit="1" customWidth="1"/>
    <col min="8" max="8" width="14.8515625" style="29" bestFit="1" customWidth="1"/>
    <col min="9" max="9" width="19.28125" style="29" bestFit="1" customWidth="1"/>
    <col min="10" max="16384" width="11.421875" style="29" customWidth="1"/>
  </cols>
  <sheetData>
    <row r="1" spans="1:3" s="82" customFormat="1" ht="55.5" customHeight="1">
      <c r="A1" s="84" t="s">
        <v>173</v>
      </c>
      <c r="B1" s="83"/>
      <c r="C1" s="84" t="s">
        <v>174</v>
      </c>
    </row>
    <row r="2" ht="18">
      <c r="A2" s="110" t="s">
        <v>212</v>
      </c>
    </row>
    <row r="3" spans="1:7" ht="45">
      <c r="A3" s="101" t="s">
        <v>48</v>
      </c>
      <c r="B3" s="101" t="s">
        <v>47</v>
      </c>
      <c r="C3" s="101" t="s">
        <v>170</v>
      </c>
      <c r="D3" s="101" t="s">
        <v>49</v>
      </c>
      <c r="E3" s="101" t="s">
        <v>138</v>
      </c>
      <c r="F3" s="101" t="s">
        <v>139</v>
      </c>
      <c r="G3" s="30" t="s">
        <v>88</v>
      </c>
    </row>
    <row r="4" spans="1:6" ht="14.25">
      <c r="A4" s="41" t="s">
        <v>84</v>
      </c>
      <c r="B4" s="6">
        <f>+C4</f>
        <v>785779000</v>
      </c>
      <c r="C4" s="6">
        <f>+'Bal prueba 010115'!F6+'Bal prueba 010115'!F7</f>
        <v>785779000</v>
      </c>
      <c r="D4" s="6"/>
      <c r="E4" s="6"/>
      <c r="F4" s="6"/>
    </row>
    <row r="5" spans="1:8" ht="14.25">
      <c r="A5" s="41" t="s">
        <v>5</v>
      </c>
      <c r="B5" s="6">
        <f>+Deudores!F14</f>
        <v>1272026305.5152178</v>
      </c>
      <c r="C5" s="6">
        <f>+Deudores!E14</f>
        <v>1241959707.3567371</v>
      </c>
      <c r="D5" s="6">
        <f>+C5-B5</f>
        <v>-30066598.158480644</v>
      </c>
      <c r="E5" s="6">
        <f>-D5*25%</f>
        <v>7516649.539620161</v>
      </c>
      <c r="F5" s="6">
        <f>-D5*9%</f>
        <v>2705993.8342632577</v>
      </c>
      <c r="G5" s="29" t="s">
        <v>467</v>
      </c>
      <c r="H5" s="29" t="s">
        <v>278</v>
      </c>
    </row>
    <row r="6" spans="1:6" ht="28.5">
      <c r="A6" s="41" t="s">
        <v>86</v>
      </c>
      <c r="B6" s="6">
        <f>+C6</f>
        <v>67560000</v>
      </c>
      <c r="C6" s="6">
        <f>+'Bal prueba 010115'!F14</f>
        <v>67560000</v>
      </c>
      <c r="D6" s="6">
        <f aca="true" t="shared" si="0" ref="D6:D11">+C6-B6</f>
        <v>0</v>
      </c>
      <c r="E6" s="6"/>
      <c r="F6" s="6"/>
    </row>
    <row r="7" spans="1:8" ht="28.5">
      <c r="A7" s="41" t="s">
        <v>162</v>
      </c>
      <c r="B7" s="6">
        <f>+Inversiones!C21</f>
        <v>3677000000</v>
      </c>
      <c r="C7" s="6">
        <f>+Inversiones!E13</f>
        <v>4527000000</v>
      </c>
      <c r="D7" s="6">
        <f t="shared" si="0"/>
        <v>850000000</v>
      </c>
      <c r="E7" s="6">
        <f>-D7*10%</f>
        <v>-85000000</v>
      </c>
      <c r="F7" s="6"/>
      <c r="G7" s="29" t="s">
        <v>467</v>
      </c>
      <c r="H7" s="29" t="s">
        <v>279</v>
      </c>
    </row>
    <row r="8" spans="1:6" ht="14.25">
      <c r="A8" s="41" t="s">
        <v>377</v>
      </c>
      <c r="B8" s="6">
        <f>+C8</f>
        <v>120698548.00191653</v>
      </c>
      <c r="C8" s="6">
        <f>+Inversiones!E65</f>
        <v>120698548.00191653</v>
      </c>
      <c r="D8" s="6">
        <f t="shared" si="0"/>
        <v>0</v>
      </c>
      <c r="E8" s="6"/>
      <c r="F8" s="6"/>
    </row>
    <row r="9" spans="1:9" ht="14.25">
      <c r="A9" s="41" t="s">
        <v>125</v>
      </c>
      <c r="B9" s="6">
        <f>+Inventarios!C8</f>
        <v>179700000</v>
      </c>
      <c r="C9" s="6">
        <f>+'Bal prueba 010115'!F22</f>
        <v>337500000</v>
      </c>
      <c r="D9" s="6">
        <f t="shared" si="0"/>
        <v>157800000</v>
      </c>
      <c r="E9" s="6">
        <f>-D9*25%</f>
        <v>-39450000</v>
      </c>
      <c r="F9" s="6">
        <f>-D9*9%</f>
        <v>-14202000</v>
      </c>
      <c r="H9" s="38"/>
      <c r="I9" s="26"/>
    </row>
    <row r="10" spans="1:9" ht="14.25">
      <c r="A10" s="41" t="s">
        <v>15</v>
      </c>
      <c r="B10" s="6">
        <f>+Inventarios!F10</f>
        <v>1128537828</v>
      </c>
      <c r="C10" s="6">
        <f>+'Bal prueba 010115'!F15</f>
        <v>1128537828</v>
      </c>
      <c r="D10" s="6">
        <f t="shared" si="0"/>
        <v>0</v>
      </c>
      <c r="E10" s="6">
        <f>-D10*25%</f>
        <v>0</v>
      </c>
      <c r="F10" s="6">
        <f>-D10*9%</f>
        <v>0</v>
      </c>
      <c r="G10" s="29" t="s">
        <v>468</v>
      </c>
      <c r="I10" s="26"/>
    </row>
    <row r="11" spans="1:9" ht="14.25">
      <c r="A11" s="41" t="s">
        <v>87</v>
      </c>
      <c r="B11" s="6">
        <f>+PPYE!C20</f>
        <v>350000000</v>
      </c>
      <c r="C11" s="6">
        <f>+'Bal prueba 010115'!F23</f>
        <v>700000000</v>
      </c>
      <c r="D11" s="6">
        <f t="shared" si="0"/>
        <v>350000000</v>
      </c>
      <c r="E11" s="6">
        <f>-D11*10%</f>
        <v>-35000000</v>
      </c>
      <c r="F11" s="6"/>
      <c r="G11" s="29" t="s">
        <v>466</v>
      </c>
      <c r="H11" s="38"/>
      <c r="I11" s="26"/>
    </row>
    <row r="12" spans="1:9" ht="14.25">
      <c r="A12" s="41" t="s">
        <v>23</v>
      </c>
      <c r="B12" s="6">
        <f>+PPYE!D41</f>
        <v>3953866335.6</v>
      </c>
      <c r="C12" s="6">
        <f>+'Bal prueba 010115'!F24</f>
        <v>8715765951.442322</v>
      </c>
      <c r="D12" s="6">
        <f>+C12-B12</f>
        <v>4761899615.842321</v>
      </c>
      <c r="E12" s="6">
        <f>-PPYE!G44</f>
        <v>-742433333.6608988</v>
      </c>
      <c r="F12" s="6">
        <f>-PPYE!G45</f>
        <v>-151358523.246</v>
      </c>
      <c r="H12" s="38"/>
      <c r="I12" s="26"/>
    </row>
    <row r="13" spans="1:6" ht="14.25">
      <c r="A13" s="41" t="s">
        <v>17</v>
      </c>
      <c r="B13" s="6">
        <f>+'Otros activos'!C26+'Otros activos'!C27+'Otros activos'!C31</f>
        <v>306250000</v>
      </c>
      <c r="C13" s="6">
        <v>0</v>
      </c>
      <c r="D13" s="6">
        <f>+C13-B13</f>
        <v>-306250000</v>
      </c>
      <c r="E13" s="6">
        <f>-D13*25%</f>
        <v>76562500</v>
      </c>
      <c r="F13" s="6">
        <f>-D13*9%</f>
        <v>27562500</v>
      </c>
    </row>
    <row r="14" spans="1:6" ht="14.25">
      <c r="A14" s="41" t="s">
        <v>284</v>
      </c>
      <c r="B14" s="6">
        <v>0</v>
      </c>
      <c r="C14" s="6">
        <v>0</v>
      </c>
      <c r="D14" s="6">
        <f>+C14-B14</f>
        <v>0</v>
      </c>
      <c r="E14" s="6">
        <f>-D14*10%</f>
        <v>0</v>
      </c>
      <c r="F14" s="6"/>
    </row>
    <row r="15" spans="1:6" ht="14.25">
      <c r="A15" s="41" t="s">
        <v>19</v>
      </c>
      <c r="B15" s="6">
        <f>+'Otros activos'!C29+'Otros activos'!C30</f>
        <v>230000000</v>
      </c>
      <c r="C15" s="6">
        <f>+'Bal prueba 010115'!F25</f>
        <v>230000000</v>
      </c>
      <c r="D15" s="6">
        <f>+C15-B15</f>
        <v>0</v>
      </c>
      <c r="E15" s="6">
        <f>-D15*10%</f>
        <v>0</v>
      </c>
      <c r="F15" s="6"/>
    </row>
    <row r="16" spans="1:7" ht="15">
      <c r="A16" s="89" t="s">
        <v>80</v>
      </c>
      <c r="B16" s="79">
        <f>SUM(B4:B15)</f>
        <v>12071418017.117134</v>
      </c>
      <c r="C16" s="79">
        <f>SUM(C4:C15)</f>
        <v>17854801034.800976</v>
      </c>
      <c r="D16" s="79">
        <f>SUM(D4:D15)</f>
        <v>5783383017.683841</v>
      </c>
      <c r="E16" s="79">
        <f>SUM(E4:E15)</f>
        <v>-817804184.1212786</v>
      </c>
      <c r="F16" s="79">
        <f>SUM(F4:F15)</f>
        <v>-135292029.41173673</v>
      </c>
      <c r="G16" s="36"/>
    </row>
    <row r="17" spans="2:7" ht="14.25">
      <c r="B17" s="24"/>
      <c r="C17" s="136">
        <f>+'Bal prueba 010115'!F27-C16</f>
        <v>-25000000</v>
      </c>
      <c r="D17" s="24"/>
      <c r="E17" s="24"/>
      <c r="F17" s="24"/>
      <c r="G17" s="36"/>
    </row>
    <row r="18" spans="1:7" ht="15">
      <c r="A18" s="72" t="s">
        <v>25</v>
      </c>
      <c r="B18" s="90"/>
      <c r="C18" s="92"/>
      <c r="D18" s="92"/>
      <c r="E18" s="92"/>
      <c r="F18" s="92"/>
      <c r="G18" s="36"/>
    </row>
    <row r="19" spans="1:7" ht="28.5">
      <c r="A19" s="41" t="s">
        <v>219</v>
      </c>
      <c r="B19" s="6">
        <f>+C19-Pasivos!C25-Pasivos!I26-Pasivos!I27-Pasivos!C29</f>
        <v>1754848000</v>
      </c>
      <c r="C19" s="6">
        <f>+'Bal prueba 010115'!F30+'Bal prueba 010115'!F31+'Bal prueba 010115'!F32</f>
        <v>1984875000</v>
      </c>
      <c r="D19" s="6">
        <f>+C19-B19</f>
        <v>230027000</v>
      </c>
      <c r="E19" s="6">
        <f>+D19*25%</f>
        <v>57506750</v>
      </c>
      <c r="F19" s="6">
        <f>+D19*9%</f>
        <v>20702430</v>
      </c>
      <c r="G19" s="36"/>
    </row>
    <row r="20" spans="1:7" ht="28.5">
      <c r="A20" s="41" t="s">
        <v>489</v>
      </c>
      <c r="B20" s="6"/>
      <c r="C20" s="6"/>
      <c r="D20" s="6"/>
      <c r="E20" s="6">
        <f>+D20*25%</f>
        <v>0</v>
      </c>
      <c r="F20" s="6">
        <f>+D20*9%</f>
        <v>0</v>
      </c>
      <c r="G20" s="36"/>
    </row>
    <row r="21" spans="1:7" ht="14.25">
      <c r="A21" s="7" t="s">
        <v>95</v>
      </c>
      <c r="B21" s="6">
        <f>+Pasivos!C36</f>
        <v>40248900</v>
      </c>
      <c r="C21" s="6">
        <f>+'Bal prueba 010115'!F33</f>
        <v>45565730</v>
      </c>
      <c r="D21" s="6">
        <f>+C21-B21</f>
        <v>5316830</v>
      </c>
      <c r="E21" s="6">
        <f>+D21*25%</f>
        <v>1329207.5</v>
      </c>
      <c r="F21" s="6">
        <f>+D21*9%</f>
        <v>478514.69999999995</v>
      </c>
      <c r="G21" s="36"/>
    </row>
    <row r="22" spans="1:7" ht="19.5" customHeight="1">
      <c r="A22" s="7" t="s">
        <v>26</v>
      </c>
      <c r="B22" s="6">
        <f>+C22-0</f>
        <v>2279789491.3055296</v>
      </c>
      <c r="C22" s="6">
        <f>+'Bal prueba 010115'!F34</f>
        <v>2279789491.3055296</v>
      </c>
      <c r="D22" s="6">
        <f>+C22-B22</f>
        <v>0</v>
      </c>
      <c r="E22" s="6"/>
      <c r="F22" s="6"/>
      <c r="G22" s="36"/>
    </row>
    <row r="23" spans="1:7" ht="19.5" customHeight="1">
      <c r="A23" s="7" t="s">
        <v>293</v>
      </c>
      <c r="B23" s="6">
        <f>+C23-0</f>
        <v>254000000</v>
      </c>
      <c r="C23" s="6">
        <f>+'Bal prueba 010115'!F35</f>
        <v>254000000</v>
      </c>
      <c r="D23" s="6"/>
      <c r="E23" s="6"/>
      <c r="F23" s="6"/>
      <c r="G23" s="36"/>
    </row>
    <row r="24" spans="1:7" ht="19.5" customHeight="1">
      <c r="A24" s="7" t="s">
        <v>294</v>
      </c>
      <c r="B24" s="6"/>
      <c r="C24" s="6">
        <f>+'Bal prueba 010115'!F36</f>
        <v>611620977.999682</v>
      </c>
      <c r="D24" s="6"/>
      <c r="E24" s="6"/>
      <c r="F24" s="6"/>
      <c r="G24" s="36"/>
    </row>
    <row r="25" spans="1:7" ht="14.25">
      <c r="A25" s="7" t="s">
        <v>112</v>
      </c>
      <c r="B25" s="6">
        <f>+C25-Pasivos!E55</f>
        <v>279348123.17784256</v>
      </c>
      <c r="C25" s="6">
        <f>+'Bal prueba 010115'!F37</f>
        <v>331431456.5111759</v>
      </c>
      <c r="D25" s="6">
        <f>+C25-B25</f>
        <v>52083333.33333331</v>
      </c>
      <c r="E25" s="6">
        <f>+D25*25%</f>
        <v>13020833.333333328</v>
      </c>
      <c r="F25" s="6">
        <f>+D25*9%</f>
        <v>4687499.999999998</v>
      </c>
      <c r="G25" s="36"/>
    </row>
    <row r="26" spans="1:6" ht="15">
      <c r="A26" s="11" t="s">
        <v>81</v>
      </c>
      <c r="B26" s="8">
        <f>SUM(B19:B25)</f>
        <v>4608234514.483372</v>
      </c>
      <c r="C26" s="8">
        <f>SUM(C19:C25)</f>
        <v>5507282655.816388</v>
      </c>
      <c r="D26" s="8">
        <f>SUM(D19:D25)</f>
        <v>287427163.3333333</v>
      </c>
      <c r="E26" s="8">
        <f>SUM(E19:E25)</f>
        <v>71856790.83333333</v>
      </c>
      <c r="F26" s="8">
        <f>SUM(F19:F25)</f>
        <v>25868444.699999996</v>
      </c>
    </row>
    <row r="27" spans="3:6" ht="15">
      <c r="C27" s="135">
        <f>+'Bal prueba 010115'!F38-C26</f>
        <v>0</v>
      </c>
      <c r="D27" s="27"/>
      <c r="E27" s="27"/>
      <c r="F27" s="27"/>
    </row>
    <row r="28" spans="2:6" ht="15">
      <c r="B28" s="27"/>
      <c r="C28" s="24"/>
      <c r="D28" s="27"/>
      <c r="E28" s="27"/>
      <c r="F28" s="27"/>
    </row>
    <row r="29" spans="1:7" ht="15">
      <c r="A29" s="7" t="s">
        <v>123</v>
      </c>
      <c r="B29" s="8"/>
      <c r="C29" s="6">
        <v>650000000</v>
      </c>
      <c r="D29" s="8"/>
      <c r="E29" s="6">
        <f>+C29*25%</f>
        <v>162500000</v>
      </c>
      <c r="F29" s="8">
        <v>0</v>
      </c>
      <c r="G29" s="29" t="s">
        <v>477</v>
      </c>
    </row>
    <row r="30" spans="1:7" ht="15">
      <c r="A30" s="7" t="s">
        <v>124</v>
      </c>
      <c r="B30" s="8"/>
      <c r="C30" s="6">
        <v>325000000</v>
      </c>
      <c r="D30" s="8"/>
      <c r="E30" s="6">
        <f>+C30*25%</f>
        <v>81250000</v>
      </c>
      <c r="F30" s="8">
        <v>0</v>
      </c>
      <c r="G30" s="29" t="s">
        <v>477</v>
      </c>
    </row>
    <row r="31" spans="2:6" ht="15">
      <c r="B31" s="27"/>
      <c r="C31" s="24"/>
      <c r="D31" s="27"/>
      <c r="E31" s="27"/>
      <c r="F31" s="27"/>
    </row>
    <row r="32" spans="2:3" ht="14.25">
      <c r="B32" s="24"/>
      <c r="C32" s="24"/>
    </row>
    <row r="33" spans="1:7" ht="15">
      <c r="A33" s="72" t="s">
        <v>4</v>
      </c>
      <c r="B33" s="79"/>
      <c r="C33" s="79"/>
      <c r="D33" s="79"/>
      <c r="E33" s="79">
        <f>+E16+E26+E29+E30</f>
        <v>-502197393.2879453</v>
      </c>
      <c r="F33" s="79">
        <f>+F16+F26</f>
        <v>-109423584.71173674</v>
      </c>
      <c r="G33" s="38"/>
    </row>
    <row r="34" spans="1:7" ht="15">
      <c r="A34" s="10"/>
      <c r="B34" s="27"/>
      <c r="C34" s="27"/>
      <c r="D34" s="27"/>
      <c r="E34" s="27"/>
      <c r="F34" s="27"/>
      <c r="G34" s="38"/>
    </row>
    <row r="35" spans="5:7" ht="15">
      <c r="E35" s="27"/>
      <c r="F35" s="27"/>
      <c r="G35" s="38"/>
    </row>
    <row r="36" spans="5:7" ht="15">
      <c r="E36" s="27"/>
      <c r="F36" s="27"/>
      <c r="G36" s="38"/>
    </row>
    <row r="37" spans="1:7" ht="15">
      <c r="A37" s="10" t="s">
        <v>456</v>
      </c>
      <c r="B37" s="27"/>
      <c r="C37" s="27"/>
      <c r="D37" s="27"/>
      <c r="E37" s="27"/>
      <c r="F37" s="27"/>
      <c r="G37" s="38"/>
    </row>
    <row r="38" spans="1:7" ht="15">
      <c r="A38" s="10"/>
      <c r="B38" s="27"/>
      <c r="C38" s="135"/>
      <c r="D38" s="135"/>
      <c r="E38" s="27"/>
      <c r="F38" s="27"/>
      <c r="G38" s="38"/>
    </row>
    <row r="39" spans="3:4" ht="14.25">
      <c r="C39" s="172"/>
      <c r="D39" s="162"/>
    </row>
    <row r="40" spans="3:7" ht="14.25">
      <c r="C40" s="172" t="s">
        <v>457</v>
      </c>
      <c r="D40" s="162">
        <v>1200000</v>
      </c>
      <c r="F40" s="38" t="s">
        <v>0</v>
      </c>
      <c r="G40" s="29" t="s">
        <v>0</v>
      </c>
    </row>
    <row r="41" spans="3:4" ht="14.25">
      <c r="C41" s="172" t="s">
        <v>458</v>
      </c>
      <c r="D41" s="162">
        <v>500000</v>
      </c>
    </row>
    <row r="42" spans="3:5" ht="14.25">
      <c r="C42" s="172"/>
      <c r="D42" s="162">
        <f>+D40-D41</f>
        <v>700000</v>
      </c>
      <c r="E42" s="29" t="s">
        <v>487</v>
      </c>
    </row>
    <row r="43" ht="14.25">
      <c r="D43" s="29" t="s">
        <v>459</v>
      </c>
    </row>
    <row r="44" spans="1:4" ht="30">
      <c r="A44" s="55"/>
      <c r="B44" s="55"/>
      <c r="C44" s="55"/>
      <c r="D44" s="55"/>
    </row>
    <row r="45" spans="1:3" ht="14.25">
      <c r="A45" s="29" t="s">
        <v>460</v>
      </c>
      <c r="C45" s="29" t="s">
        <v>462</v>
      </c>
    </row>
    <row r="46" spans="1:3" ht="14.25">
      <c r="A46" s="29" t="s">
        <v>461</v>
      </c>
      <c r="C46" s="29" t="s">
        <v>463</v>
      </c>
    </row>
    <row r="47" ht="14.25">
      <c r="A47" s="29" t="s">
        <v>464</v>
      </c>
    </row>
    <row r="48" spans="1:4" ht="14.25">
      <c r="A48" s="29" t="s">
        <v>465</v>
      </c>
      <c r="B48" s="29" t="s">
        <v>466</v>
      </c>
      <c r="C48" s="29" t="s">
        <v>467</v>
      </c>
      <c r="D48" s="29" t="s">
        <v>469</v>
      </c>
    </row>
    <row r="49" spans="2:4" ht="14.25">
      <c r="B49" s="29" t="s">
        <v>383</v>
      </c>
      <c r="C49" s="29" t="s">
        <v>468</v>
      </c>
      <c r="D49" s="29" t="s">
        <v>488</v>
      </c>
    </row>
    <row r="51" ht="14.25">
      <c r="B51" s="29" t="s">
        <v>470</v>
      </c>
    </row>
    <row r="52" ht="14.25">
      <c r="B52" s="29" t="s">
        <v>471</v>
      </c>
    </row>
    <row r="53" ht="14.25">
      <c r="B53" s="29" t="s">
        <v>472</v>
      </c>
    </row>
    <row r="54" ht="14.25">
      <c r="B54" s="29" t="s">
        <v>473</v>
      </c>
    </row>
    <row r="56" spans="1:2" ht="14.25">
      <c r="A56" s="29" t="s">
        <v>474</v>
      </c>
      <c r="B56" s="29" t="s">
        <v>475</v>
      </c>
    </row>
    <row r="58" spans="1:2" ht="14.25">
      <c r="A58" s="29" t="s">
        <v>476</v>
      </c>
      <c r="B58" s="172"/>
    </row>
    <row r="59" ht="14.25">
      <c r="B59" s="172"/>
    </row>
    <row r="60" ht="14.25">
      <c r="B60" s="173"/>
    </row>
    <row r="61" ht="14.25">
      <c r="B61" s="172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="110" zoomScaleNormal="110" zoomScalePageLayoutView="0" workbookViewId="0" topLeftCell="A1">
      <pane ySplit="1" topLeftCell="A5" activePane="bottomLeft" state="frozen"/>
      <selection pane="topLeft" activeCell="D13" sqref="D13"/>
      <selection pane="bottomLeft" activeCell="D13" sqref="D13"/>
    </sheetView>
  </sheetViews>
  <sheetFormatPr defaultColWidth="11.421875" defaultRowHeight="12.75"/>
  <cols>
    <col min="1" max="1" width="35.7109375" style="2" bestFit="1" customWidth="1"/>
    <col min="2" max="4" width="18.7109375" style="2" customWidth="1"/>
    <col min="5" max="16384" width="11.421875" style="2" customWidth="1"/>
  </cols>
  <sheetData>
    <row r="1" spans="1:3" s="82" customFormat="1" ht="48.75" customHeight="1">
      <c r="A1" s="84" t="s">
        <v>173</v>
      </c>
      <c r="B1" s="83"/>
      <c r="C1" s="84" t="s">
        <v>174</v>
      </c>
    </row>
    <row r="2" ht="14.25"/>
    <row r="3" ht="15">
      <c r="A3" s="1" t="s">
        <v>213</v>
      </c>
    </row>
    <row r="5" spans="1:4" ht="15">
      <c r="A5" s="72" t="s">
        <v>1</v>
      </c>
      <c r="B5" s="73" t="s">
        <v>78</v>
      </c>
      <c r="C5" s="73" t="s">
        <v>29</v>
      </c>
      <c r="D5" s="73" t="s">
        <v>145</v>
      </c>
    </row>
    <row r="6" spans="1:4" ht="14.25">
      <c r="A6" s="5" t="str">
        <f>+'Bal prueba 010115'!A41</f>
        <v>Capital suscrito y pagado</v>
      </c>
      <c r="B6" s="6">
        <f>+'Bal prueba 010115'!B41</f>
        <v>3863708769</v>
      </c>
      <c r="C6" s="6"/>
      <c r="D6" s="6">
        <f aca="true" t="shared" si="0" ref="D6:D11">+B6+C6</f>
        <v>3863708769</v>
      </c>
    </row>
    <row r="7" spans="1:5" ht="14.25">
      <c r="A7" s="5" t="str">
        <f>+'Bal prueba 010115'!A42</f>
        <v>Reservas</v>
      </c>
      <c r="B7" s="6">
        <f>+'Bal prueba 010115'!B42</f>
        <v>314726772</v>
      </c>
      <c r="C7" s="6">
        <f>-B7</f>
        <v>-314726772</v>
      </c>
      <c r="D7" s="6">
        <f t="shared" si="0"/>
        <v>0</v>
      </c>
      <c r="E7" s="2" t="s">
        <v>452</v>
      </c>
    </row>
    <row r="8" spans="1:4" ht="14.25">
      <c r="A8" s="5" t="str">
        <f>+'Bal prueba 010115'!A43</f>
        <v>Utilidad  del ejercicio</v>
      </c>
      <c r="B8" s="6">
        <f>+'Bal prueba 010115'!B43</f>
        <v>526640957</v>
      </c>
      <c r="C8" s="6"/>
      <c r="D8" s="6">
        <f t="shared" si="0"/>
        <v>526640957</v>
      </c>
    </row>
    <row r="9" spans="1:4" ht="14.25">
      <c r="A9" s="5" t="e">
        <f>+'Bal prueba 010115'!#REF!</f>
        <v>#REF!</v>
      </c>
      <c r="B9" s="6" t="e">
        <f>+'Bal prueba 010115'!#REF!</f>
        <v>#REF!</v>
      </c>
      <c r="C9" s="6" t="e">
        <f>-B9</f>
        <v>#REF!</v>
      </c>
      <c r="D9" s="6" t="e">
        <f t="shared" si="0"/>
        <v>#REF!</v>
      </c>
    </row>
    <row r="10" spans="1:4" ht="14.25">
      <c r="A10" s="5" t="str">
        <f>+'Bal prueba 010115'!A44</f>
        <v>Resultados de ejercicios anteriores</v>
      </c>
      <c r="B10" s="6">
        <f>+'Bal prueba 010115'!B44</f>
        <v>1551539967.23</v>
      </c>
      <c r="C10" s="6"/>
      <c r="D10" s="6">
        <f t="shared" si="0"/>
        <v>1551539967.23</v>
      </c>
    </row>
    <row r="11" spans="1:5" ht="14.25">
      <c r="A11" s="5" t="str">
        <f>+'Bal prueba 010115'!A45</f>
        <v>Revalorización patrimonio</v>
      </c>
      <c r="B11" s="6">
        <f>+'Bal prueba 010115'!B45</f>
        <v>352600000</v>
      </c>
      <c r="C11" s="6">
        <f>-B11</f>
        <v>-352600000</v>
      </c>
      <c r="D11" s="6">
        <f t="shared" si="0"/>
        <v>0</v>
      </c>
      <c r="E11" s="2" t="s">
        <v>452</v>
      </c>
    </row>
    <row r="12" spans="1:4" ht="15">
      <c r="A12" s="72" t="s">
        <v>39</v>
      </c>
      <c r="B12" s="79" t="e">
        <f>SUM(B6:B11)</f>
        <v>#REF!</v>
      </c>
      <c r="C12" s="79" t="e">
        <f>SUM(C6:C11)</f>
        <v>#REF!</v>
      </c>
      <c r="D12" s="79" t="e">
        <f>SUM(D6:D11)</f>
        <v>#REF!</v>
      </c>
    </row>
    <row r="14" ht="14.25">
      <c r="B14" s="9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zoomScale="130" zoomScaleNormal="13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"/>
    </sheetView>
  </sheetViews>
  <sheetFormatPr defaultColWidth="11.421875" defaultRowHeight="12.75"/>
  <cols>
    <col min="1" max="1" width="50.140625" style="209" bestFit="1" customWidth="1"/>
    <col min="2" max="2" width="21.57421875" style="233" customWidth="1"/>
    <col min="3" max="4" width="21.57421875" style="209" customWidth="1"/>
    <col min="5" max="5" width="21.57421875" style="223" customWidth="1"/>
    <col min="6" max="6" width="21.57421875" style="209" customWidth="1"/>
    <col min="7" max="7" width="15.7109375" style="209" bestFit="1" customWidth="1"/>
    <col min="8" max="8" width="18.28125" style="209" bestFit="1" customWidth="1"/>
    <col min="9" max="16384" width="11.421875" style="209" customWidth="1"/>
  </cols>
  <sheetData>
    <row r="1" spans="1:5" s="205" customFormat="1" ht="12.75">
      <c r="A1" s="203" t="s">
        <v>50</v>
      </c>
      <c r="B1" s="204"/>
      <c r="D1" s="204" t="s">
        <v>175</v>
      </c>
      <c r="E1" s="105" t="s">
        <v>129</v>
      </c>
    </row>
    <row r="2" spans="1:5" s="205" customFormat="1" ht="12.75">
      <c r="A2" s="203" t="s">
        <v>85</v>
      </c>
      <c r="B2" s="204"/>
      <c r="C2" s="204"/>
      <c r="D2" s="204"/>
      <c r="E2" s="206"/>
    </row>
    <row r="3" spans="1:5" ht="12.75">
      <c r="A3" s="207" t="s">
        <v>705</v>
      </c>
      <c r="B3" s="208" t="s">
        <v>668</v>
      </c>
      <c r="C3" s="208" t="s">
        <v>495</v>
      </c>
      <c r="D3" s="208" t="s">
        <v>496</v>
      </c>
      <c r="E3" s="208" t="s">
        <v>497</v>
      </c>
    </row>
    <row r="4" spans="2:7" ht="12.75">
      <c r="B4" s="210"/>
      <c r="C4" s="211"/>
      <c r="D4" s="211"/>
      <c r="E4" s="211"/>
      <c r="G4" s="212"/>
    </row>
    <row r="5" spans="1:7" ht="12.75">
      <c r="A5" s="213" t="s">
        <v>622</v>
      </c>
      <c r="B5" s="214">
        <f>+'Bal prueba 311215'!E6</f>
        <v>146757272.93842697</v>
      </c>
      <c r="C5" s="215">
        <f>+Deudores!F40+Deudores!F41+Deudores!F39+Deudores!E23-Deudores!F23+Deudores!L73+Deudores!E24+Deudores!L19*12+Deudores!E96-Deudores!F96+18750000+D52</f>
        <v>17996075290</v>
      </c>
      <c r="D5" s="215">
        <f>+'Otros activos'!E9+Pasivos!K14+Leasing!G184+Leasing!G54+12000000+235000000+650000000+1000000000+15000000000+13546000+23000000</f>
        <v>17871110296.061573</v>
      </c>
      <c r="E5" s="215">
        <f aca="true" t="shared" si="0" ref="E5:E11">+B5+C5-D5</f>
        <v>271722266.87685394</v>
      </c>
      <c r="F5" s="216"/>
      <c r="G5" s="217"/>
    </row>
    <row r="6" spans="1:7" ht="12.75">
      <c r="A6" s="213" t="s">
        <v>623</v>
      </c>
      <c r="B6" s="214">
        <f>+'Bal prueba 311215'!E7</f>
        <v>651525000</v>
      </c>
      <c r="C6" s="215">
        <v>0</v>
      </c>
      <c r="D6" s="215">
        <f>250000000+36000000+0.46</f>
        <v>286000000.46</v>
      </c>
      <c r="E6" s="215">
        <f t="shared" si="0"/>
        <v>365524999.54</v>
      </c>
      <c r="F6" s="216"/>
      <c r="G6" s="217"/>
    </row>
    <row r="7" spans="1:7" ht="12.75">
      <c r="A7" s="213" t="s">
        <v>300</v>
      </c>
      <c r="B7" s="214">
        <f>+'Bal prueba 311215'!E8</f>
        <v>713896614.2984858</v>
      </c>
      <c r="C7" s="215">
        <f>+Deudores!F56+Deudores!F39</f>
        <v>4600743723.768562</v>
      </c>
      <c r="D7" s="215">
        <f>+Deudores!F39+Deudores!E23-Deudores!F23+Deudores!L73+Deudores!L19*12</f>
        <v>4641650290</v>
      </c>
      <c r="E7" s="215">
        <f t="shared" si="0"/>
        <v>672990048.0670481</v>
      </c>
      <c r="F7" s="216"/>
      <c r="G7" s="217"/>
    </row>
    <row r="8" spans="1:7" ht="12.75">
      <c r="A8" s="213" t="s">
        <v>6</v>
      </c>
      <c r="B8" s="214">
        <f>+'Bal prueba 311215'!E9</f>
        <v>6551452</v>
      </c>
      <c r="C8" s="215">
        <v>12000000</v>
      </c>
      <c r="D8" s="215"/>
      <c r="E8" s="215">
        <f t="shared" si="0"/>
        <v>18551452</v>
      </c>
      <c r="F8" s="216"/>
      <c r="G8" s="217"/>
    </row>
    <row r="9" spans="1:7" ht="12.75">
      <c r="A9" s="213" t="s">
        <v>637</v>
      </c>
      <c r="B9" s="214">
        <f>+'Bal prueba 311215'!E10</f>
        <v>135000000</v>
      </c>
      <c r="C9" s="215">
        <v>46345000</v>
      </c>
      <c r="D9" s="215">
        <v>135000000</v>
      </c>
      <c r="E9" s="215">
        <f t="shared" si="0"/>
        <v>46345000</v>
      </c>
      <c r="F9" s="216"/>
      <c r="G9" s="217"/>
    </row>
    <row r="10" spans="1:7" ht="12.75">
      <c r="A10" s="213" t="s">
        <v>127</v>
      </c>
      <c r="B10" s="214">
        <f>+'Bal prueba 311215'!E11</f>
        <v>16891891.891891822</v>
      </c>
      <c r="C10" s="215">
        <f>++Deudores!D133</f>
        <v>1858108.1081081005</v>
      </c>
      <c r="D10" s="215">
        <f>+Deudores!C116</f>
        <v>18750000</v>
      </c>
      <c r="E10" s="215">
        <f t="shared" si="0"/>
        <v>-7.82310962677002E-08</v>
      </c>
      <c r="F10" s="216"/>
      <c r="G10" s="217"/>
    </row>
    <row r="11" spans="1:7" ht="12.75">
      <c r="A11" s="213" t="s">
        <v>16</v>
      </c>
      <c r="B11" s="214">
        <f>+'Bal prueba 311215'!E12</f>
        <v>196000000</v>
      </c>
      <c r="C11" s="215">
        <f>+'Otros activos'!E9</f>
        <v>179500000</v>
      </c>
      <c r="D11" s="215">
        <f>+'Otros activos'!E16+'Otros activos'!E17+'Otros activos'!E18+'Otros activos'!E19</f>
        <v>196000000</v>
      </c>
      <c r="E11" s="215">
        <f t="shared" si="0"/>
        <v>179500000</v>
      </c>
      <c r="F11" s="216"/>
      <c r="G11" s="217"/>
    </row>
    <row r="12" spans="1:7" ht="12.75">
      <c r="A12" s="213" t="s">
        <v>624</v>
      </c>
      <c r="B12" s="214">
        <f>+'Bal prueba 311215'!E13</f>
        <v>-299318416.87728727</v>
      </c>
      <c r="D12" s="215">
        <v>12500000</v>
      </c>
      <c r="E12" s="215">
        <f>+B12+C15-D12</f>
        <v>-311818416.87728727</v>
      </c>
      <c r="F12" s="216"/>
      <c r="G12" s="217"/>
    </row>
    <row r="13" spans="1:7" ht="12.75">
      <c r="A13" s="213" t="s">
        <v>133</v>
      </c>
      <c r="B13" s="214">
        <f>+'Bal prueba 311215'!E14</f>
        <v>67560000</v>
      </c>
      <c r="C13" s="215">
        <v>13546000</v>
      </c>
      <c r="D13" s="215">
        <v>67560000</v>
      </c>
      <c r="E13" s="215">
        <f aca="true" t="shared" si="1" ref="E13:E25">+B13+C13-D13</f>
        <v>13546000</v>
      </c>
      <c r="G13" s="218"/>
    </row>
    <row r="14" spans="1:7" ht="12.75">
      <c r="A14" s="209" t="s">
        <v>15</v>
      </c>
      <c r="B14" s="214">
        <f>+'Bal prueba 311215'!E15</f>
        <v>4773814888</v>
      </c>
      <c r="C14" s="215">
        <f>+Inventarios!F37+Inventarios!F40+Inventarios!F41+Inventarios!F42-4500000000</f>
        <v>6999041579</v>
      </c>
      <c r="D14" s="215">
        <f>+Deudores!F46</f>
        <v>8073700000</v>
      </c>
      <c r="E14" s="215">
        <f t="shared" si="1"/>
        <v>3699156467</v>
      </c>
      <c r="G14" s="218"/>
    </row>
    <row r="15" spans="1:7" ht="12.75">
      <c r="A15" s="213" t="s">
        <v>636</v>
      </c>
      <c r="B15" s="214">
        <f>+'Bal prueba 311215'!E16</f>
        <v>-25000000</v>
      </c>
      <c r="C15" s="215">
        <v>0</v>
      </c>
      <c r="D15" s="215">
        <v>11500000</v>
      </c>
      <c r="E15" s="215">
        <f t="shared" si="1"/>
        <v>-36500000</v>
      </c>
      <c r="G15" s="219"/>
    </row>
    <row r="16" spans="1:7" ht="12.75">
      <c r="A16" s="213" t="s">
        <v>625</v>
      </c>
      <c r="B16" s="214">
        <f>+'Bal prueba 311215'!E17</f>
        <v>145000000</v>
      </c>
      <c r="C16" s="215">
        <f>+Inversiones!G7-Inversiones!F7</f>
        <v>200000000</v>
      </c>
      <c r="D16" s="215"/>
      <c r="E16" s="215">
        <f t="shared" si="1"/>
        <v>345000000</v>
      </c>
      <c r="G16" s="218"/>
    </row>
    <row r="17" spans="1:5" ht="12.75">
      <c r="A17" s="213" t="s">
        <v>626</v>
      </c>
      <c r="B17" s="214">
        <f>+'Bal prueba 311215'!E18</f>
        <v>2156000000</v>
      </c>
      <c r="C17" s="215">
        <f>+Inversiones!G8-Inversiones!F8</f>
        <v>602000000</v>
      </c>
      <c r="D17" s="215"/>
      <c r="E17" s="215">
        <f t="shared" si="1"/>
        <v>2758000000</v>
      </c>
    </row>
    <row r="18" spans="1:5" ht="12.75">
      <c r="A18" s="213" t="s">
        <v>627</v>
      </c>
      <c r="B18" s="214">
        <f>+'Bal prueba 311215'!E19</f>
        <v>456000000</v>
      </c>
      <c r="C18" s="215"/>
      <c r="D18" s="215"/>
      <c r="E18" s="215">
        <f t="shared" si="1"/>
        <v>456000000</v>
      </c>
    </row>
    <row r="19" spans="1:5" ht="12.75">
      <c r="A19" s="213" t="s">
        <v>628</v>
      </c>
      <c r="B19" s="214">
        <f>+'Bal prueba 311215'!E20</f>
        <v>850000000</v>
      </c>
      <c r="C19" s="215"/>
      <c r="D19" s="215"/>
      <c r="E19" s="215">
        <f t="shared" si="1"/>
        <v>850000000</v>
      </c>
    </row>
    <row r="20" spans="1:7" ht="12.75">
      <c r="A20" s="213" t="s">
        <v>629</v>
      </c>
      <c r="B20" s="214">
        <f>+'Bal prueba 311215'!E21</f>
        <v>0.4899998903274536</v>
      </c>
      <c r="C20" s="215"/>
      <c r="D20" s="215"/>
      <c r="E20" s="215">
        <f t="shared" si="1"/>
        <v>0.4899998903274536</v>
      </c>
      <c r="G20" s="218"/>
    </row>
    <row r="21" spans="1:7" ht="12.75">
      <c r="A21" s="213" t="s">
        <v>630</v>
      </c>
      <c r="B21" s="214">
        <f>+'Bal prueba 311215'!E22</f>
        <v>450000000</v>
      </c>
      <c r="C21" s="215">
        <f>235000000+26000000</f>
        <v>261000000</v>
      </c>
      <c r="D21" s="215">
        <v>210000000</v>
      </c>
      <c r="E21" s="215">
        <f t="shared" si="1"/>
        <v>501000000</v>
      </c>
      <c r="G21" s="218"/>
    </row>
    <row r="22" spans="1:7" ht="12.75">
      <c r="A22" s="213" t="s">
        <v>638</v>
      </c>
      <c r="B22" s="214">
        <f>+'Bal prueba 311215'!E23</f>
        <v>750000000</v>
      </c>
      <c r="C22" s="215">
        <f>+PPYE!G23-PPYE!G22</f>
        <v>70000000</v>
      </c>
      <c r="D22" s="215"/>
      <c r="E22" s="215">
        <f t="shared" si="1"/>
        <v>820000000</v>
      </c>
      <c r="G22" s="218"/>
    </row>
    <row r="23" spans="1:7" ht="12.75">
      <c r="A23" s="213" t="s">
        <v>23</v>
      </c>
      <c r="B23" s="214">
        <f>+'Bal prueba 311215'!E24</f>
        <v>8309303764.444927</v>
      </c>
      <c r="C23" s="215">
        <v>650000000</v>
      </c>
      <c r="D23" s="215">
        <f>+PPYE!L17</f>
        <v>406462186.99739504</v>
      </c>
      <c r="E23" s="215">
        <f t="shared" si="1"/>
        <v>8552841577.447533</v>
      </c>
      <c r="F23" s="218"/>
      <c r="G23" s="218"/>
    </row>
    <row r="24" spans="1:5" ht="12.75">
      <c r="A24" s="213" t="s">
        <v>631</v>
      </c>
      <c r="B24" s="214">
        <f>+'Bal prueba 311215'!E25</f>
        <v>195000000</v>
      </c>
      <c r="C24" s="215">
        <v>36000000</v>
      </c>
      <c r="D24" s="215">
        <v>46000000</v>
      </c>
      <c r="E24" s="215">
        <f t="shared" si="1"/>
        <v>185000000</v>
      </c>
    </row>
    <row r="25" spans="1:5" ht="12.75">
      <c r="A25" s="213" t="s">
        <v>89</v>
      </c>
      <c r="B25" s="214">
        <f>+'Bal prueba 311215'!E26</f>
        <v>0</v>
      </c>
      <c r="C25" s="215"/>
      <c r="D25" s="215"/>
      <c r="E25" s="215">
        <f t="shared" si="1"/>
        <v>0</v>
      </c>
    </row>
    <row r="26" spans="1:5" ht="12.75">
      <c r="A26" s="220" t="s">
        <v>80</v>
      </c>
      <c r="B26" s="221">
        <f>SUM(B5:B25)</f>
        <v>19694982467.186447</v>
      </c>
      <c r="C26" s="222">
        <f>SUM(C5:C25)</f>
        <v>31668109700.87667</v>
      </c>
      <c r="D26" s="222">
        <f>SUM(D5:D25)</f>
        <v>31976232773.518967</v>
      </c>
      <c r="E26" s="222">
        <f>SUM(E5:E25)</f>
        <v>19386859394.544147</v>
      </c>
    </row>
    <row r="27" ht="12.75">
      <c r="B27" s="211"/>
    </row>
    <row r="28" spans="1:5" ht="12.75">
      <c r="A28" s="224" t="s">
        <v>25</v>
      </c>
      <c r="B28" s="225"/>
      <c r="C28" s="226"/>
      <c r="D28" s="227"/>
      <c r="E28" s="226"/>
    </row>
    <row r="29" spans="1:5" ht="12.75">
      <c r="A29" s="213" t="s">
        <v>632</v>
      </c>
      <c r="B29" s="214">
        <f>+'Bal prueba 311215'!E30</f>
        <v>588250000</v>
      </c>
      <c r="C29" s="215">
        <v>734980000</v>
      </c>
      <c r="D29" s="215">
        <v>524987000</v>
      </c>
      <c r="E29" s="215">
        <f>+B29+D29-C29</f>
        <v>378257000</v>
      </c>
    </row>
    <row r="30" spans="1:5" ht="12.75">
      <c r="A30" s="213" t="s">
        <v>70</v>
      </c>
      <c r="B30" s="214">
        <f>+'Bal prueba 311215'!E31</f>
        <v>1773000000</v>
      </c>
      <c r="C30" s="215">
        <v>2076543000</v>
      </c>
      <c r="D30" s="215">
        <v>1254324000</v>
      </c>
      <c r="E30" s="215">
        <f aca="true" t="shared" si="2" ref="E30:E36">+B30+D30-C30</f>
        <v>950781000</v>
      </c>
    </row>
    <row r="31" spans="1:5" ht="12.75">
      <c r="A31" s="213" t="s">
        <v>633</v>
      </c>
      <c r="B31" s="214">
        <f>+'Bal prueba 311215'!E32</f>
        <v>11245000</v>
      </c>
      <c r="C31" s="215">
        <v>11245000</v>
      </c>
      <c r="D31" s="215">
        <v>83450000</v>
      </c>
      <c r="E31" s="215">
        <f t="shared" si="2"/>
        <v>83450000</v>
      </c>
    </row>
    <row r="32" spans="1:5" ht="12.75">
      <c r="A32" s="213" t="s">
        <v>27</v>
      </c>
      <c r="B32" s="214">
        <f>+'Bal prueba 311215'!E33</f>
        <v>52065730</v>
      </c>
      <c r="C32" s="215">
        <f>+B32</f>
        <v>52065730</v>
      </c>
      <c r="D32" s="215">
        <f>58765324+15960022.73</f>
        <v>74725346.73</v>
      </c>
      <c r="E32" s="215">
        <f t="shared" si="2"/>
        <v>74725346.73</v>
      </c>
    </row>
    <row r="33" spans="1:5" ht="12.75">
      <c r="A33" s="213" t="s">
        <v>634</v>
      </c>
      <c r="B33" s="214">
        <f>+'Bal prueba 311215'!E34</f>
        <v>1652061292.15068</v>
      </c>
      <c r="C33" s="215">
        <f>+Pasivos!K14+Leasing!G184-Leasing!G185+Leasing!G54-Leasing!G55</f>
        <v>686126662.8084949</v>
      </c>
      <c r="D33" s="215">
        <f>+Pasivos!L14</f>
        <v>135080247.36566353</v>
      </c>
      <c r="E33" s="215">
        <f t="shared" si="2"/>
        <v>1101014876.7078485</v>
      </c>
    </row>
    <row r="34" spans="1:5" ht="12.75">
      <c r="A34" s="213" t="s">
        <v>130</v>
      </c>
      <c r="B34" s="214">
        <f>+'Bal prueba 311215'!E35</f>
        <v>516000000</v>
      </c>
      <c r="C34" s="215">
        <v>516000000</v>
      </c>
      <c r="D34" s="215">
        <v>680000000</v>
      </c>
      <c r="E34" s="215">
        <f t="shared" si="2"/>
        <v>680000000</v>
      </c>
    </row>
    <row r="35" spans="1:5" ht="12.75">
      <c r="A35" s="213" t="s">
        <v>90</v>
      </c>
      <c r="B35" s="214">
        <f>+'Bal prueba 311215'!E36</f>
        <v>754620977.999682</v>
      </c>
      <c r="C35" s="215">
        <v>123000000</v>
      </c>
      <c r="D35" s="215">
        <v>0</v>
      </c>
      <c r="E35" s="215">
        <f t="shared" si="2"/>
        <v>631620977.999682</v>
      </c>
    </row>
    <row r="36" spans="1:5" ht="12.75">
      <c r="A36" s="213" t="s">
        <v>635</v>
      </c>
      <c r="B36" s="214">
        <f>+'Bal prueba 311215'!E37</f>
        <v>401694456.5111759</v>
      </c>
      <c r="C36" s="215"/>
      <c r="D36" s="215">
        <f>37563000</f>
        <v>37563000</v>
      </c>
      <c r="E36" s="215">
        <f t="shared" si="2"/>
        <v>439257456.5111759</v>
      </c>
    </row>
    <row r="37" spans="1:5" ht="12.75">
      <c r="A37" s="224" t="s">
        <v>81</v>
      </c>
      <c r="B37" s="228">
        <f>SUM(B29:B36)</f>
        <v>5748937456.661538</v>
      </c>
      <c r="C37" s="222">
        <f>SUM(C29:C36)</f>
        <v>4199960392.808495</v>
      </c>
      <c r="D37" s="222">
        <f>SUM(D29:D36)</f>
        <v>2790129594.0956635</v>
      </c>
      <c r="E37" s="222">
        <f>SUM(E29:E36)</f>
        <v>4339106657.948707</v>
      </c>
    </row>
    <row r="38" spans="2:5" ht="12.75">
      <c r="B38" s="229"/>
      <c r="C38" s="229"/>
      <c r="D38" s="229"/>
      <c r="E38" s="229"/>
    </row>
    <row r="39" spans="1:6" ht="12.75">
      <c r="A39" s="224" t="s">
        <v>28</v>
      </c>
      <c r="B39" s="222">
        <f>SUM(B40:B43)</f>
        <v>13946045010.522816</v>
      </c>
      <c r="C39" s="222">
        <f>SUM(C40:C43)</f>
        <v>1623526631.5403175</v>
      </c>
      <c r="D39" s="222">
        <f>SUM(D40:D43)</f>
        <v>2725234357.611967</v>
      </c>
      <c r="E39" s="222">
        <f>SUM(E40:E43)</f>
        <v>15047752736.594465</v>
      </c>
      <c r="F39" s="230"/>
    </row>
    <row r="40" spans="1:5" ht="12.75">
      <c r="A40" s="213" t="s">
        <v>51</v>
      </c>
      <c r="B40" s="214">
        <f>+'Bal prueba 311215'!E41</f>
        <v>3863708769</v>
      </c>
      <c r="C40" s="215"/>
      <c r="D40" s="215"/>
      <c r="E40" s="215">
        <f>+B40+D40-C40</f>
        <v>3863708769</v>
      </c>
    </row>
    <row r="41" spans="1:5" ht="12.75">
      <c r="A41" s="213" t="s">
        <v>20</v>
      </c>
      <c r="B41" s="214">
        <f>+'Bal prueba 311215'!E42</f>
        <v>1623526631.5403175</v>
      </c>
      <c r="C41" s="215">
        <f>+B41</f>
        <v>1623526631.5403175</v>
      </c>
      <c r="D41" s="215">
        <f>+E82</f>
        <v>2101707726.0716496</v>
      </c>
      <c r="E41" s="215">
        <f>+B41+D41-C41</f>
        <v>2101707726.0716496</v>
      </c>
    </row>
    <row r="42" spans="1:5" ht="12.75">
      <c r="A42" s="231" t="s">
        <v>494</v>
      </c>
      <c r="B42" s="214">
        <f>+'Bal prueba 311215'!E43</f>
        <v>8458809609.982499</v>
      </c>
      <c r="C42" s="215"/>
      <c r="D42" s="215">
        <f>+B41-1000000000</f>
        <v>623526631.5403175</v>
      </c>
      <c r="E42" s="215">
        <f>+B42+D42-C42</f>
        <v>9082336241.522816</v>
      </c>
    </row>
    <row r="43" spans="2:3" ht="12.75">
      <c r="B43" s="211"/>
      <c r="C43" s="223"/>
    </row>
    <row r="44" spans="1:5" ht="12.75">
      <c r="A44" s="224" t="s">
        <v>82</v>
      </c>
      <c r="B44" s="222">
        <f>+B37+B39</f>
        <v>19694982467.184353</v>
      </c>
      <c r="C44" s="222">
        <f>+C37+C39</f>
        <v>5823487024.348812</v>
      </c>
      <c r="D44" s="222">
        <f>+D37+D39</f>
        <v>5515363951.70763</v>
      </c>
      <c r="E44" s="222">
        <f>+E37+E39</f>
        <v>19386859394.54317</v>
      </c>
    </row>
    <row r="46" spans="2:5" ht="12.75">
      <c r="B46" s="232">
        <f>+B44-B26</f>
        <v>-0.002094268798828125</v>
      </c>
      <c r="C46" s="233">
        <f>+C44+C26</f>
        <v>37491596725.22548</v>
      </c>
      <c r="D46" s="233">
        <f>+D44+D26</f>
        <v>37491596725.22659</v>
      </c>
      <c r="E46" s="232">
        <f>+E44-E26</f>
        <v>-0.0009765625</v>
      </c>
    </row>
    <row r="48" spans="2:5" ht="12.75">
      <c r="B48" s="208" t="s">
        <v>493</v>
      </c>
      <c r="C48" s="208" t="s">
        <v>495</v>
      </c>
      <c r="D48" s="208" t="s">
        <v>496</v>
      </c>
      <c r="E48" s="208" t="s">
        <v>497</v>
      </c>
    </row>
    <row r="49" spans="1:5" s="235" customFormat="1" ht="12.75">
      <c r="A49" s="234" t="s">
        <v>498</v>
      </c>
      <c r="B49" s="229"/>
      <c r="C49" s="229"/>
      <c r="D49" s="229"/>
      <c r="E49" s="229"/>
    </row>
    <row r="50" spans="1:5" ht="12.75">
      <c r="A50" s="224" t="s">
        <v>527</v>
      </c>
      <c r="B50" s="222">
        <f>SUM(B51:B61)</f>
        <v>0</v>
      </c>
      <c r="C50" s="222">
        <f>SUM(C51:C61)</f>
        <v>34563000</v>
      </c>
      <c r="D50" s="222">
        <f>SUM(D51:D61)</f>
        <v>18946360791.687786</v>
      </c>
      <c r="E50" s="222">
        <f>SUM(E51:E61)</f>
        <v>18911797791.687786</v>
      </c>
    </row>
    <row r="51" spans="1:5" ht="12.75">
      <c r="A51" s="213" t="s">
        <v>548</v>
      </c>
      <c r="B51" s="215"/>
      <c r="C51" s="215"/>
      <c r="D51" s="215">
        <f>+Deudores!F37</f>
        <v>17236000000</v>
      </c>
      <c r="E51" s="215">
        <f>+B51+D51-C51</f>
        <v>17236000000</v>
      </c>
    </row>
    <row r="52" spans="1:5" ht="12.75">
      <c r="A52" s="213" t="s">
        <v>499</v>
      </c>
      <c r="B52" s="215"/>
      <c r="C52" s="215"/>
      <c r="D52" s="215">
        <v>589000000</v>
      </c>
      <c r="E52" s="215">
        <f aca="true" t="shared" si="3" ref="E52:E61">+B52+D52-C52</f>
        <v>589000000</v>
      </c>
    </row>
    <row r="53" spans="1:5" ht="25.5">
      <c r="A53" s="213" t="s">
        <v>589</v>
      </c>
      <c r="B53" s="215"/>
      <c r="C53" s="215"/>
      <c r="D53" s="215">
        <v>26000000</v>
      </c>
      <c r="E53" s="215">
        <f t="shared" si="3"/>
        <v>26000000</v>
      </c>
    </row>
    <row r="54" spans="1:7" ht="12.75">
      <c r="A54" s="213" t="s">
        <v>500</v>
      </c>
      <c r="B54" s="215"/>
      <c r="C54" s="215"/>
      <c r="D54" s="215"/>
      <c r="E54" s="215">
        <f t="shared" si="3"/>
        <v>0</v>
      </c>
      <c r="G54" s="236"/>
    </row>
    <row r="55" spans="1:7" ht="12.75">
      <c r="A55" s="213" t="s">
        <v>288</v>
      </c>
      <c r="B55" s="215"/>
      <c r="C55" s="215"/>
      <c r="D55" s="215">
        <f>+Deudores!E56+Deudores!E134</f>
        <v>62728791.68778731</v>
      </c>
      <c r="E55" s="215">
        <f t="shared" si="3"/>
        <v>62728791.68778731</v>
      </c>
      <c r="G55" s="236"/>
    </row>
    <row r="56" spans="1:5" ht="12.75">
      <c r="A56" s="213" t="s">
        <v>501</v>
      </c>
      <c r="B56" s="215"/>
      <c r="C56" s="215">
        <v>34563000</v>
      </c>
      <c r="D56" s="215">
        <v>12543000</v>
      </c>
      <c r="E56" s="215">
        <f t="shared" si="3"/>
        <v>-22020000</v>
      </c>
    </row>
    <row r="57" spans="1:5" ht="25.5">
      <c r="A57" s="213" t="s">
        <v>529</v>
      </c>
      <c r="B57" s="215"/>
      <c r="C57" s="215"/>
      <c r="D57" s="215">
        <f>-Inversiones!E30</f>
        <v>802000000</v>
      </c>
      <c r="E57" s="215">
        <f t="shared" si="3"/>
        <v>802000000</v>
      </c>
    </row>
    <row r="58" spans="1:5" ht="25.5">
      <c r="A58" s="213" t="s">
        <v>609</v>
      </c>
      <c r="B58" s="215"/>
      <c r="C58" s="215"/>
      <c r="D58" s="215">
        <f>+PPYE!G23-PPYE!G22</f>
        <v>70000000</v>
      </c>
      <c r="E58" s="215">
        <f t="shared" si="3"/>
        <v>70000000</v>
      </c>
    </row>
    <row r="59" spans="1:5" ht="12.75">
      <c r="A59" s="213" t="s">
        <v>502</v>
      </c>
      <c r="B59" s="215"/>
      <c r="C59" s="215"/>
      <c r="D59" s="215">
        <v>12435000</v>
      </c>
      <c r="E59" s="215">
        <f t="shared" si="3"/>
        <v>12435000</v>
      </c>
    </row>
    <row r="60" spans="1:5" ht="12.75">
      <c r="A60" s="213" t="s">
        <v>503</v>
      </c>
      <c r="B60" s="215"/>
      <c r="C60" s="215"/>
      <c r="D60" s="215">
        <v>12654000</v>
      </c>
      <c r="E60" s="215">
        <f t="shared" si="3"/>
        <v>12654000</v>
      </c>
    </row>
    <row r="61" spans="1:5" ht="12.75">
      <c r="A61" s="213" t="s">
        <v>147</v>
      </c>
      <c r="B61" s="215"/>
      <c r="C61" s="215"/>
      <c r="D61" s="215">
        <v>123000000</v>
      </c>
      <c r="E61" s="215">
        <f t="shared" si="3"/>
        <v>123000000</v>
      </c>
    </row>
    <row r="62" spans="1:5" s="235" customFormat="1" ht="12.75">
      <c r="A62" s="234"/>
      <c r="B62" s="229"/>
      <c r="C62" s="229"/>
      <c r="D62" s="229"/>
      <c r="E62" s="229"/>
    </row>
    <row r="63" spans="1:5" ht="12.75">
      <c r="A63" s="224" t="s">
        <v>528</v>
      </c>
      <c r="B63" s="222">
        <f>SUM(B64:B81)</f>
        <v>0</v>
      </c>
      <c r="C63" s="222">
        <f>SUM(C64:C81)</f>
        <v>16933090065.616137</v>
      </c>
      <c r="D63" s="222">
        <f>SUM(D64:D81)</f>
        <v>123000000</v>
      </c>
      <c r="E63" s="222">
        <f>SUM(E64:E81)</f>
        <v>16810090065.616137</v>
      </c>
    </row>
    <row r="64" spans="1:5" ht="12.75">
      <c r="A64" s="213" t="s">
        <v>260</v>
      </c>
      <c r="B64" s="215"/>
      <c r="C64" s="215">
        <f>+Deudores!F46+3550000000-7500002</f>
        <v>11616199998</v>
      </c>
      <c r="D64" s="215"/>
      <c r="E64" s="215">
        <f>+B64+C64-D64</f>
        <v>11616199998</v>
      </c>
    </row>
    <row r="65" spans="1:5" ht="12.75">
      <c r="A65" s="213" t="s">
        <v>586</v>
      </c>
      <c r="B65" s="215"/>
      <c r="C65" s="215">
        <v>386000000</v>
      </c>
      <c r="D65" s="215"/>
      <c r="E65" s="215">
        <f aca="true" t="shared" si="4" ref="E65:E81">+B65+C65-D65</f>
        <v>386000000</v>
      </c>
    </row>
    <row r="66" spans="1:5" ht="12.75">
      <c r="A66" s="213" t="s">
        <v>591</v>
      </c>
      <c r="B66" s="215"/>
      <c r="C66" s="215">
        <v>2345000</v>
      </c>
      <c r="D66" s="215">
        <v>0</v>
      </c>
      <c r="E66" s="215">
        <f t="shared" si="4"/>
        <v>2345000</v>
      </c>
    </row>
    <row r="67" spans="1:5" ht="12.75">
      <c r="A67" s="213" t="s">
        <v>504</v>
      </c>
      <c r="B67" s="215"/>
      <c r="C67" s="215">
        <f>1200000+1654000000</f>
        <v>1655200000</v>
      </c>
      <c r="D67" s="215"/>
      <c r="E67" s="215">
        <f t="shared" si="4"/>
        <v>1655200000</v>
      </c>
    </row>
    <row r="68" spans="1:5" ht="12.75">
      <c r="A68" s="213" t="s">
        <v>505</v>
      </c>
      <c r="B68" s="215"/>
      <c r="C68" s="215">
        <v>123000000</v>
      </c>
      <c r="D68" s="215"/>
      <c r="E68" s="215">
        <f t="shared" si="4"/>
        <v>123000000</v>
      </c>
    </row>
    <row r="69" spans="1:5" ht="12.75">
      <c r="A69" s="213" t="s">
        <v>506</v>
      </c>
      <c r="B69" s="215"/>
      <c r="C69" s="215">
        <v>632000000</v>
      </c>
      <c r="D69" s="215"/>
      <c r="E69" s="215">
        <f t="shared" si="4"/>
        <v>632000000</v>
      </c>
    </row>
    <row r="70" spans="1:6" ht="12.75">
      <c r="A70" s="213" t="s">
        <v>618</v>
      </c>
      <c r="B70" s="215"/>
      <c r="C70" s="215">
        <v>655300000</v>
      </c>
      <c r="D70" s="215"/>
      <c r="E70" s="215">
        <f t="shared" si="4"/>
        <v>655300000</v>
      </c>
      <c r="F70" s="218"/>
    </row>
    <row r="71" spans="1:5" ht="12.75">
      <c r="A71" s="213" t="s">
        <v>507</v>
      </c>
      <c r="B71" s="215"/>
      <c r="C71" s="215">
        <f>+'Otros activos'!D12</f>
        <v>87000000</v>
      </c>
      <c r="D71" s="215"/>
      <c r="E71" s="215">
        <f t="shared" si="4"/>
        <v>87000000</v>
      </c>
    </row>
    <row r="72" spans="1:5" ht="12.75">
      <c r="A72" s="213" t="s">
        <v>508</v>
      </c>
      <c r="B72" s="215"/>
      <c r="C72" s="215">
        <f>+PPYE!L17</f>
        <v>406462186.99739504</v>
      </c>
      <c r="D72" s="215"/>
      <c r="E72" s="215">
        <f t="shared" si="4"/>
        <v>406462186.99739504</v>
      </c>
    </row>
    <row r="73" spans="1:5" ht="12.75">
      <c r="A73" s="213" t="s">
        <v>615</v>
      </c>
      <c r="B73" s="215"/>
      <c r="C73" s="215">
        <f>+'Otros activos'!D17+233000000</f>
        <v>298000000</v>
      </c>
      <c r="D73" s="215"/>
      <c r="E73" s="215">
        <f t="shared" si="4"/>
        <v>298000000</v>
      </c>
    </row>
    <row r="74" spans="1:5" ht="12.75">
      <c r="A74" s="213" t="s">
        <v>509</v>
      </c>
      <c r="B74" s="215"/>
      <c r="C74" s="215">
        <v>63456000</v>
      </c>
      <c r="D74" s="215"/>
      <c r="E74" s="215">
        <f t="shared" si="4"/>
        <v>63456000</v>
      </c>
    </row>
    <row r="75" spans="1:5" ht="12.75">
      <c r="A75" s="213" t="s">
        <v>510</v>
      </c>
      <c r="B75" s="215"/>
      <c r="C75" s="215">
        <v>0</v>
      </c>
      <c r="D75" s="215"/>
      <c r="E75" s="215">
        <f t="shared" si="4"/>
        <v>0</v>
      </c>
    </row>
    <row r="76" spans="1:5" ht="12.75">
      <c r="A76" s="213" t="s">
        <v>511</v>
      </c>
      <c r="B76" s="215"/>
      <c r="C76" s="215">
        <v>46000000</v>
      </c>
      <c r="D76" s="215"/>
      <c r="E76" s="215">
        <f t="shared" si="4"/>
        <v>46000000</v>
      </c>
    </row>
    <row r="77" spans="1:7" ht="12.75">
      <c r="A77" s="213" t="s">
        <v>619</v>
      </c>
      <c r="B77" s="215"/>
      <c r="C77" s="215">
        <f>+D12</f>
        <v>12500000</v>
      </c>
      <c r="D77" s="215"/>
      <c r="E77" s="215">
        <f t="shared" si="4"/>
        <v>12500000</v>
      </c>
      <c r="G77" s="216"/>
    </row>
    <row r="78" spans="1:7" ht="12.75">
      <c r="A78" s="213" t="s">
        <v>636</v>
      </c>
      <c r="B78" s="215"/>
      <c r="C78" s="215">
        <v>11500000</v>
      </c>
      <c r="D78" s="215"/>
      <c r="E78" s="215">
        <f t="shared" si="4"/>
        <v>11500000</v>
      </c>
      <c r="G78" s="216"/>
    </row>
    <row r="79" spans="1:5" ht="12.75">
      <c r="A79" s="213" t="s">
        <v>512</v>
      </c>
      <c r="B79" s="215"/>
      <c r="C79" s="215">
        <f>+Pasivos!L14+Leasing!G55+Leasing!G185+37563000</f>
        <v>244580880.61874187</v>
      </c>
      <c r="D79" s="215"/>
      <c r="E79" s="215">
        <f t="shared" si="4"/>
        <v>244580880.61874187</v>
      </c>
    </row>
    <row r="80" spans="1:5" ht="12.75">
      <c r="A80" s="213" t="s">
        <v>621</v>
      </c>
      <c r="B80" s="215"/>
      <c r="C80" s="215">
        <v>0</v>
      </c>
      <c r="D80" s="215">
        <v>123000000</v>
      </c>
      <c r="E80" s="215">
        <f t="shared" si="4"/>
        <v>-123000000</v>
      </c>
    </row>
    <row r="81" spans="1:5" ht="12.75">
      <c r="A81" s="213" t="s">
        <v>620</v>
      </c>
      <c r="B81" s="222"/>
      <c r="C81" s="215">
        <f>680000000+13546000</f>
        <v>693546000</v>
      </c>
      <c r="D81" s="222"/>
      <c r="E81" s="215">
        <f t="shared" si="4"/>
        <v>693546000</v>
      </c>
    </row>
    <row r="82" spans="1:5" ht="12.75">
      <c r="A82" s="224" t="s">
        <v>513</v>
      </c>
      <c r="B82" s="222">
        <f>+B50-B63</f>
        <v>0</v>
      </c>
      <c r="C82" s="222">
        <f>+C50-C63</f>
        <v>-16898527065.616137</v>
      </c>
      <c r="D82" s="222">
        <f>+D50-D63</f>
        <v>18823360791.687786</v>
      </c>
      <c r="E82" s="222">
        <f>+E50-E63</f>
        <v>2101707726.0716496</v>
      </c>
    </row>
    <row r="86" ht="12.75">
      <c r="A86" s="212"/>
    </row>
  </sheetData>
  <sheetProtection/>
  <hyperlinks>
    <hyperlink ref="E1" r:id="rId1" display="leovarong@yahoo.com"/>
    <hyperlink ref="A22" location="PPYE!A1" display="Propiedades de inversión"/>
    <hyperlink ref="A23" location="PPYE!A1" display="Propiedad, planta y equipo"/>
    <hyperlink ref="A40" location="Patrimonio!A1" display="Capital suscrito y pagado"/>
    <hyperlink ref="A41" location="Patrimonio!A1" display="Utilidad  del ejercicio"/>
    <hyperlink ref="A25" location="'Imp diferidos'!A1" display="Activo x impuestos diferidos"/>
    <hyperlink ref="A21" location="Inventarios!A1" display="Activos biológicos"/>
    <hyperlink ref="A13" location="Deudores!A1" display="Activos por impuestos corrientes"/>
    <hyperlink ref="A24" location="'Otros activos'!A1" display="Intangibles"/>
    <hyperlink ref="A5" location="Efectivo!A1" display="Efectivo y equivalentes"/>
    <hyperlink ref="A36" location="Pasivos!A1" display="Pasivos por provisiones"/>
    <hyperlink ref="A35" location="'Imp diferidos'!A1" display="Pasivos x impuestos diferidos"/>
  </hyperlinks>
  <printOptions/>
  <pageMargins left="0.3937007874015748" right="0.3937007874015748" top="0.3937007874015748" bottom="0.3937007874015748" header="0" footer="0"/>
  <pageSetup fitToHeight="0" fitToWidth="1" horizontalDpi="120" verticalDpi="120" orientation="landscape" scale="96" r:id="rId2"/>
  <rowBreaks count="1" manualBreakCount="1">
    <brk id="4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="140" zoomScaleNormal="140" zoomScalePageLayoutView="0" workbookViewId="0" topLeftCell="B2">
      <selection activeCell="B8" sqref="B8:B17"/>
    </sheetView>
  </sheetViews>
  <sheetFormatPr defaultColWidth="11.421875" defaultRowHeight="12.75"/>
  <cols>
    <col min="1" max="1" width="2.8515625" style="250" customWidth="1"/>
    <col min="2" max="2" width="37.8515625" style="253" customWidth="1"/>
    <col min="3" max="5" width="23.140625" style="273" customWidth="1"/>
    <col min="6" max="6" width="4.8515625" style="273" customWidth="1"/>
    <col min="7" max="8" width="23.140625" style="273" customWidth="1"/>
    <col min="9" max="9" width="11.421875" style="164" customWidth="1"/>
    <col min="10" max="10" width="18.7109375" style="164" bestFit="1" customWidth="1"/>
    <col min="11" max="16384" width="11.421875" style="164" customWidth="1"/>
  </cols>
  <sheetData>
    <row r="1" spans="2:8" ht="12.75">
      <c r="B1" s="251" t="s">
        <v>649</v>
      </c>
      <c r="C1" s="251"/>
      <c r="D1" s="251"/>
      <c r="E1" s="251"/>
      <c r="F1" s="251"/>
      <c r="G1" s="251"/>
      <c r="H1" s="251"/>
    </row>
    <row r="2" spans="2:8" ht="12.75">
      <c r="B2" s="251" t="str">
        <f>+'Bal prueba 311216'!A1</f>
        <v>Empresa LVG</v>
      </c>
      <c r="C2" s="251"/>
      <c r="D2" s="251"/>
      <c r="E2" s="251" t="s">
        <v>1106</v>
      </c>
      <c r="F2" s="251"/>
      <c r="G2" s="251"/>
      <c r="H2" s="251"/>
    </row>
    <row r="3" spans="2:8" ht="12.75">
      <c r="B3" s="252" t="s">
        <v>650</v>
      </c>
      <c r="C3" s="251"/>
      <c r="D3" s="251"/>
      <c r="E3" s="251"/>
      <c r="F3" s="251"/>
      <c r="G3" s="251"/>
      <c r="H3" s="251"/>
    </row>
    <row r="4" spans="2:8" ht="12.75">
      <c r="B4" s="252"/>
      <c r="C4" s="251"/>
      <c r="D4" s="251"/>
      <c r="E4" s="251"/>
      <c r="F4" s="251"/>
      <c r="G4" s="251"/>
      <c r="H4" s="251"/>
    </row>
    <row r="5" spans="3:8" ht="12.75">
      <c r="C5" s="330" t="s">
        <v>782</v>
      </c>
      <c r="D5" s="330"/>
      <c r="E5" s="248" t="s">
        <v>783</v>
      </c>
      <c r="F5" s="248"/>
      <c r="G5" s="248" t="s">
        <v>1108</v>
      </c>
      <c r="H5" s="248" t="s">
        <v>1108</v>
      </c>
    </row>
    <row r="6" spans="3:10" ht="12.75">
      <c r="C6" s="249">
        <v>2016</v>
      </c>
      <c r="D6" s="249">
        <v>2015</v>
      </c>
      <c r="E6" s="249">
        <v>2015</v>
      </c>
      <c r="F6" s="354"/>
      <c r="G6" s="354" t="s">
        <v>1109</v>
      </c>
      <c r="H6" s="354" t="s">
        <v>1110</v>
      </c>
      <c r="J6" s="164" t="s">
        <v>706</v>
      </c>
    </row>
    <row r="7" spans="1:9" ht="12.75">
      <c r="A7" s="203"/>
      <c r="C7" s="254"/>
      <c r="D7" s="254"/>
      <c r="E7" s="254"/>
      <c r="F7" s="254"/>
      <c r="G7" s="254"/>
      <c r="H7" s="254"/>
      <c r="I7" s="209"/>
    </row>
    <row r="8" spans="2:10" ht="12.75">
      <c r="B8" s="250" t="s">
        <v>392</v>
      </c>
      <c r="C8" s="254">
        <f>+'Bal prueba 311216'!E5+'Bal prueba 311216'!E6</f>
        <v>637247266.4168539</v>
      </c>
      <c r="D8" s="254">
        <f>+'Bal prueba 311215'!E6+'Bal prueba 311215'!E7</f>
        <v>798282272.938427</v>
      </c>
      <c r="E8" s="254">
        <f>+'Bal prueba 311215'!B6+'Bal prueba 311215'!B7</f>
        <v>785779000</v>
      </c>
      <c r="F8" s="254"/>
      <c r="G8" s="254">
        <f>+C8-D8</f>
        <v>-161035006.52157307</v>
      </c>
      <c r="H8" s="254">
        <f>+D8-E8</f>
        <v>12503272.938426971</v>
      </c>
      <c r="I8" s="209"/>
      <c r="J8" s="255"/>
    </row>
    <row r="9" spans="2:10" ht="12.75">
      <c r="B9" s="250" t="s">
        <v>1111</v>
      </c>
      <c r="C9" s="254">
        <f>+'Bal prueba 311216'!E7+'Bal prueba 311216'!E12</f>
        <v>361171631.1897608</v>
      </c>
      <c r="D9" s="254">
        <f>+'Bal prueba 311215'!E8+'Bal prueba 311215'!E13</f>
        <v>414578197.4211985</v>
      </c>
      <c r="E9" s="254">
        <f>+'Bal prueba 311215'!B8+'Bal prueba 311215'!B13</f>
        <v>858272442.8415192</v>
      </c>
      <c r="F9" s="254"/>
      <c r="G9" s="254">
        <f aca="true" t="shared" si="0" ref="G9:H13">+C9-D9</f>
        <v>-53406566.23143768</v>
      </c>
      <c r="H9" s="254">
        <f t="shared" si="0"/>
        <v>-443694245.42032075</v>
      </c>
      <c r="I9" s="209" t="s">
        <v>700</v>
      </c>
      <c r="J9" s="256"/>
    </row>
    <row r="10" spans="2:10" ht="12.75">
      <c r="B10" s="250" t="s">
        <v>1112</v>
      </c>
      <c r="C10" s="254">
        <f>+'Bal prueba 311216'!E8+'Bal prueba 311216'!E9+'Bal prueba 311216'!E10+'Bal prueba 311216'!E11</f>
        <v>244396451.99999994</v>
      </c>
      <c r="D10" s="254">
        <f>+'Bal prueba 311215'!E9+'Bal prueba 311215'!E10+'Bal prueba 311215'!E11+'Bal prueba 311215'!E12</f>
        <v>354443343.89189184</v>
      </c>
      <c r="E10" s="254">
        <f>+'Bal prueba 311215'!B9+'Bal prueba 311215'!B10+'Bal prueba 311215'!B11+'Bal prueba 311215'!B12</f>
        <v>383687264.51521784</v>
      </c>
      <c r="F10" s="254"/>
      <c r="G10" s="254">
        <f>+C10-D10</f>
        <v>-110046891.8918919</v>
      </c>
      <c r="H10" s="254">
        <f>+D10-E10</f>
        <v>-29243920.623326004</v>
      </c>
      <c r="I10" s="209" t="s">
        <v>700</v>
      </c>
      <c r="J10" s="256"/>
    </row>
    <row r="11" spans="2:10" ht="12.75">
      <c r="B11" s="250" t="s">
        <v>15</v>
      </c>
      <c r="C11" s="254">
        <f>+'Bal prueba 311216'!E14+'Bal prueba 311216'!E15</f>
        <v>3662656467</v>
      </c>
      <c r="D11" s="254">
        <f>+'Bal prueba 311215'!E15+'Bal prueba 311215'!E16</f>
        <v>4748814888</v>
      </c>
      <c r="E11" s="254">
        <f>+'Bal prueba 311215'!B15+'Bal prueba 311215'!B16</f>
        <v>1103537828</v>
      </c>
      <c r="F11" s="254"/>
      <c r="G11" s="254">
        <f>+C11-D11</f>
        <v>-1086158421</v>
      </c>
      <c r="H11" s="254">
        <f>+D11-E11</f>
        <v>3645277060</v>
      </c>
      <c r="I11" s="209" t="s">
        <v>700</v>
      </c>
      <c r="J11" s="257"/>
    </row>
    <row r="12" spans="2:10" ht="12.75">
      <c r="B12" s="250" t="s">
        <v>86</v>
      </c>
      <c r="C12" s="254">
        <f>+'Bal prueba 311216'!E13</f>
        <v>13546000</v>
      </c>
      <c r="D12" s="254">
        <f>+'Bal prueba 311215'!E14</f>
        <v>67560000</v>
      </c>
      <c r="E12" s="254">
        <f>+'Bal prueba 311215'!B14</f>
        <v>67560000</v>
      </c>
      <c r="F12" s="254"/>
      <c r="G12" s="254">
        <f t="shared" si="0"/>
        <v>-54014000</v>
      </c>
      <c r="H12" s="254">
        <f t="shared" si="0"/>
        <v>0</v>
      </c>
      <c r="I12" s="209" t="s">
        <v>700</v>
      </c>
      <c r="J12" s="258"/>
    </row>
    <row r="13" spans="2:10" ht="12.75">
      <c r="B13" s="250" t="s">
        <v>773</v>
      </c>
      <c r="C13" s="296">
        <f>+'Bal prueba 311216'!E16+'Bal prueba 311216'!E17</f>
        <v>3103000000</v>
      </c>
      <c r="D13" s="296">
        <f>+'Bal prueba 311215'!E17+'Bal prueba 311215'!E18</f>
        <v>2301000000</v>
      </c>
      <c r="E13" s="296">
        <f>+'Bal prueba 311215'!B17+'Bal prueba 311215'!B18+'Bal prueba 311215'!B21</f>
        <v>3341698548.0019164</v>
      </c>
      <c r="F13" s="355"/>
      <c r="G13" s="254">
        <f t="shared" si="0"/>
        <v>802000000</v>
      </c>
      <c r="H13" s="254">
        <f t="shared" si="0"/>
        <v>-1040698548.0019164</v>
      </c>
      <c r="I13" s="209" t="s">
        <v>700</v>
      </c>
      <c r="J13" s="259"/>
    </row>
    <row r="14" spans="1:9" ht="12.75">
      <c r="A14" s="203" t="s">
        <v>784</v>
      </c>
      <c r="C14" s="265">
        <f>SUM(C8:C13)</f>
        <v>8022017816.606615</v>
      </c>
      <c r="D14" s="265">
        <f>SUM(D8:D13)</f>
        <v>8684678702.251518</v>
      </c>
      <c r="E14" s="265">
        <f>SUM(E8:E13)</f>
        <v>6540535083.358654</v>
      </c>
      <c r="F14" s="265"/>
      <c r="G14" s="265"/>
      <c r="H14" s="265"/>
      <c r="I14" s="209"/>
    </row>
    <row r="15" spans="1:9" ht="12.75">
      <c r="A15" s="203"/>
      <c r="C15" s="254"/>
      <c r="D15" s="254"/>
      <c r="E15" s="254"/>
      <c r="F15" s="254"/>
      <c r="G15" s="254"/>
      <c r="H15" s="254"/>
      <c r="I15" s="209"/>
    </row>
    <row r="16" spans="2:10" ht="12.75">
      <c r="B16" s="250" t="s">
        <v>639</v>
      </c>
      <c r="C16" s="254">
        <f>+'Bal prueba 311216'!E23</f>
        <v>8552841577.447533</v>
      </c>
      <c r="D16" s="254">
        <f>+'Bal prueba 311215'!E24</f>
        <v>8309303764.444927</v>
      </c>
      <c r="E16" s="254">
        <f>+'Bal prueba 311215'!B24</f>
        <v>8715765951.442322</v>
      </c>
      <c r="F16" s="254"/>
      <c r="G16" s="254">
        <f aca="true" t="shared" si="1" ref="G16:G21">+C16-D16</f>
        <v>243537813.00260544</v>
      </c>
      <c r="H16" s="254">
        <f aca="true" t="shared" si="2" ref="H16:H21">+D16-E16</f>
        <v>-406462186.99739456</v>
      </c>
      <c r="I16" s="209" t="s">
        <v>700</v>
      </c>
      <c r="J16" s="260"/>
    </row>
    <row r="17" spans="2:10" ht="12.75">
      <c r="B17" s="250" t="s">
        <v>640</v>
      </c>
      <c r="C17" s="254">
        <f>+'Bal prueba 311216'!E22</f>
        <v>820000000</v>
      </c>
      <c r="D17" s="254">
        <f>+'Bal prueba 311215'!E23</f>
        <v>750000000</v>
      </c>
      <c r="E17" s="254">
        <f>+'Bal prueba 311215'!B23</f>
        <v>700000000</v>
      </c>
      <c r="F17" s="254"/>
      <c r="G17" s="254">
        <f t="shared" si="1"/>
        <v>70000000</v>
      </c>
      <c r="H17" s="254">
        <f t="shared" si="2"/>
        <v>50000000</v>
      </c>
      <c r="I17" s="209" t="s">
        <v>700</v>
      </c>
      <c r="J17" s="261"/>
    </row>
    <row r="18" spans="2:10" ht="12.75">
      <c r="B18" s="250" t="s">
        <v>641</v>
      </c>
      <c r="C18" s="254">
        <f>+'Bal prueba 311216'!E24</f>
        <v>185000000</v>
      </c>
      <c r="D18" s="254">
        <f>+'Bal prueba 311215'!E25</f>
        <v>195000000</v>
      </c>
      <c r="E18" s="254">
        <f>+'Bal prueba 311215'!B25</f>
        <v>230000000</v>
      </c>
      <c r="F18" s="254"/>
      <c r="G18" s="254">
        <f t="shared" si="1"/>
        <v>-10000000</v>
      </c>
      <c r="H18" s="254">
        <f t="shared" si="2"/>
        <v>-35000000</v>
      </c>
      <c r="I18" s="209" t="s">
        <v>700</v>
      </c>
      <c r="J18" s="262"/>
    </row>
    <row r="19" spans="2:10" ht="12.75">
      <c r="B19" s="250" t="s">
        <v>390</v>
      </c>
      <c r="C19" s="254">
        <f>+'Bal prueba 311216'!E19</f>
        <v>850000000</v>
      </c>
      <c r="D19" s="254">
        <f>+'Bal prueba 311215'!E20</f>
        <v>850000000</v>
      </c>
      <c r="E19" s="254">
        <f>+'Bal prueba 311215'!B20</f>
        <v>850000000</v>
      </c>
      <c r="F19" s="254"/>
      <c r="G19" s="254">
        <f t="shared" si="1"/>
        <v>0</v>
      </c>
      <c r="H19" s="254">
        <f t="shared" si="2"/>
        <v>0</v>
      </c>
      <c r="I19" s="209"/>
      <c r="J19" s="263"/>
    </row>
    <row r="20" spans="2:10" ht="12.75">
      <c r="B20" s="250" t="s">
        <v>771</v>
      </c>
      <c r="C20" s="254">
        <f>+'Bal prueba 311216'!E21</f>
        <v>501000000</v>
      </c>
      <c r="D20" s="254">
        <f>+'Bal prueba 311215'!E22</f>
        <v>450000000</v>
      </c>
      <c r="E20" s="254">
        <f>+'Bal prueba 311215'!B22</f>
        <v>337500000</v>
      </c>
      <c r="F20" s="254"/>
      <c r="G20" s="254">
        <f t="shared" si="1"/>
        <v>51000000</v>
      </c>
      <c r="H20" s="254">
        <f t="shared" si="2"/>
        <v>112500000</v>
      </c>
      <c r="I20" s="209" t="s">
        <v>700</v>
      </c>
      <c r="J20" s="264"/>
    </row>
    <row r="21" spans="2:10" ht="12.75">
      <c r="B21" s="250" t="s">
        <v>773</v>
      </c>
      <c r="C21" s="296">
        <f>+'Bal prueba 311216'!E18</f>
        <v>456000000</v>
      </c>
      <c r="D21" s="296">
        <f>+'Bal prueba 311215'!E19</f>
        <v>456000000</v>
      </c>
      <c r="E21" s="296">
        <f>+'Bal prueba 311215'!B19</f>
        <v>456000000</v>
      </c>
      <c r="F21" s="355"/>
      <c r="G21" s="254">
        <f t="shared" si="1"/>
        <v>0</v>
      </c>
      <c r="H21" s="254">
        <f t="shared" si="2"/>
        <v>0</v>
      </c>
      <c r="I21" s="209"/>
      <c r="J21" s="259"/>
    </row>
    <row r="22" spans="1:9" ht="12.75">
      <c r="A22" s="203" t="s">
        <v>642</v>
      </c>
      <c r="C22" s="265">
        <f>SUM(C16:C21)</f>
        <v>11364841577.447533</v>
      </c>
      <c r="D22" s="265">
        <f>SUM(D16:D21)</f>
        <v>11010303764.444927</v>
      </c>
      <c r="E22" s="265">
        <f>SUM(E16:E21)</f>
        <v>11289265951.442322</v>
      </c>
      <c r="F22" s="265"/>
      <c r="G22" s="265"/>
      <c r="H22" s="265"/>
      <c r="I22" s="209"/>
    </row>
    <row r="23" spans="1:9" ht="13.5" thickBot="1">
      <c r="A23" s="203" t="s">
        <v>643</v>
      </c>
      <c r="C23" s="297">
        <f>+C14+C22</f>
        <v>19386859394.054146</v>
      </c>
      <c r="D23" s="297">
        <f>+D14+D22</f>
        <v>19694982466.696445</v>
      </c>
      <c r="E23" s="297">
        <f>+E14+E22</f>
        <v>17829801034.800976</v>
      </c>
      <c r="F23" s="265"/>
      <c r="G23" s="265"/>
      <c r="H23" s="265"/>
      <c r="I23" s="209"/>
    </row>
    <row r="24" spans="2:9" ht="13.5" thickTop="1">
      <c r="B24" s="203"/>
      <c r="C24" s="265"/>
      <c r="D24" s="265"/>
      <c r="E24" s="265"/>
      <c r="F24" s="265"/>
      <c r="G24" s="265"/>
      <c r="H24" s="265"/>
      <c r="I24" s="209"/>
    </row>
    <row r="25" spans="2:10" ht="12.75">
      <c r="B25" s="250" t="s">
        <v>632</v>
      </c>
      <c r="C25" s="254">
        <f>+'Bal prueba 311216'!E29+'Bal prueba 311216'!E30+'Bal prueba 311216'!E31+'Bal prueba 311216'!E32</f>
        <v>1487213346.73</v>
      </c>
      <c r="D25" s="254">
        <f>+'Bal prueba 311215'!E30+'Bal prueba 311215'!E31+'Bal prueba 311215'!E32+'Bal prueba 311215'!E33</f>
        <v>2424560730</v>
      </c>
      <c r="E25" s="254">
        <f>+'Bal prueba 311215'!B30+'Bal prueba 311215'!B31+'Bal prueba 311215'!B32+'Bal prueba 311215'!B33</f>
        <v>2030440730</v>
      </c>
      <c r="F25" s="254"/>
      <c r="G25" s="254">
        <f>+C25-D25</f>
        <v>-937347383.27</v>
      </c>
      <c r="H25" s="254">
        <f>+D25-E25</f>
        <v>394120000</v>
      </c>
      <c r="I25" s="209" t="s">
        <v>700</v>
      </c>
      <c r="J25" s="266"/>
    </row>
    <row r="26" spans="2:10" ht="12.75">
      <c r="B26" s="250" t="s">
        <v>293</v>
      </c>
      <c r="C26" s="254">
        <f>+'Bal prueba 311216'!E34</f>
        <v>680000000</v>
      </c>
      <c r="D26" s="254">
        <f>+'Bal prueba 311215'!E35</f>
        <v>516000000</v>
      </c>
      <c r="E26" s="254">
        <f>+'Bal prueba 311215'!B35</f>
        <v>254000000</v>
      </c>
      <c r="F26" s="254"/>
      <c r="G26" s="254">
        <f>+C26-D26</f>
        <v>164000000</v>
      </c>
      <c r="H26" s="254">
        <f>+D26-E26</f>
        <v>262000000</v>
      </c>
      <c r="I26" s="209" t="s">
        <v>700</v>
      </c>
      <c r="J26" s="267"/>
    </row>
    <row r="27" spans="2:11" ht="12.75">
      <c r="B27" s="250" t="s">
        <v>772</v>
      </c>
      <c r="C27" s="296">
        <f>+'Bal prueba 311216'!E33</f>
        <v>1101014876.7078485</v>
      </c>
      <c r="D27" s="296">
        <f>+'Bal prueba 311215'!E34</f>
        <v>1652061292.15068</v>
      </c>
      <c r="E27" s="296">
        <f>+'Bal prueba 311215'!B34</f>
        <v>2279789491.3055296</v>
      </c>
      <c r="F27" s="355"/>
      <c r="G27" s="254">
        <f>+C27-D27</f>
        <v>-551046415.4428315</v>
      </c>
      <c r="H27" s="254">
        <f>+D27-E27</f>
        <v>-627728199.1548495</v>
      </c>
      <c r="I27" s="209"/>
      <c r="J27" s="268"/>
      <c r="K27" s="269"/>
    </row>
    <row r="28" spans="1:9" ht="12.75">
      <c r="A28" s="203" t="s">
        <v>785</v>
      </c>
      <c r="C28" s="265">
        <f>SUM(C25:C27)</f>
        <v>3268228223.4378486</v>
      </c>
      <c r="D28" s="265">
        <f>SUM(D25:D27)</f>
        <v>4592622022.150681</v>
      </c>
      <c r="E28" s="265">
        <f>SUM(E25:E27)</f>
        <v>4564230221.30553</v>
      </c>
      <c r="F28" s="265"/>
      <c r="G28" s="265"/>
      <c r="H28" s="265"/>
      <c r="I28" s="209"/>
    </row>
    <row r="29" spans="1:9" ht="12.75">
      <c r="A29" s="203"/>
      <c r="C29" s="254"/>
      <c r="D29" s="254"/>
      <c r="E29" s="254"/>
      <c r="F29" s="254"/>
      <c r="G29" s="254"/>
      <c r="H29" s="254"/>
      <c r="I29" s="209"/>
    </row>
    <row r="30" spans="2:10" ht="12.75">
      <c r="B30" s="250" t="s">
        <v>1107</v>
      </c>
      <c r="C30" s="254">
        <f>+'Bal prueba 311216'!E36</f>
        <v>439257456.5111759</v>
      </c>
      <c r="D30" s="254">
        <f>+'Bal prueba 311215'!E37</f>
        <v>401694456.5111759</v>
      </c>
      <c r="E30" s="254">
        <f>+'Bal prueba 311215'!B37</f>
        <v>331431456.5111759</v>
      </c>
      <c r="F30" s="254"/>
      <c r="G30" s="254">
        <f>+C30-D30</f>
        <v>37563000</v>
      </c>
      <c r="H30" s="254">
        <f>+D30-E30</f>
        <v>70263000</v>
      </c>
      <c r="I30" s="209" t="s">
        <v>700</v>
      </c>
      <c r="J30" s="270"/>
    </row>
    <row r="31" spans="2:10" ht="12.75">
      <c r="B31" s="250" t="s">
        <v>644</v>
      </c>
      <c r="C31" s="254">
        <f>+'Bal prueba 311216'!E35</f>
        <v>631620977.999682</v>
      </c>
      <c r="D31" s="254">
        <f>+'Bal prueba 311215'!E36</f>
        <v>754620977.999682</v>
      </c>
      <c r="E31" s="254">
        <f>+'Bal prueba 311215'!B36</f>
        <v>611620977.999682</v>
      </c>
      <c r="F31" s="254"/>
      <c r="G31" s="254">
        <f>+C31-D31</f>
        <v>-123000000</v>
      </c>
      <c r="H31" s="254">
        <f>+D31-E31</f>
        <v>143000000</v>
      </c>
      <c r="I31" s="209" t="s">
        <v>700</v>
      </c>
      <c r="J31" s="271"/>
    </row>
    <row r="32" spans="2:10" ht="12.75">
      <c r="B32" s="250" t="s">
        <v>774</v>
      </c>
      <c r="C32" s="296"/>
      <c r="D32" s="296"/>
      <c r="E32" s="296"/>
      <c r="F32" s="355"/>
      <c r="G32" s="355"/>
      <c r="H32" s="355"/>
      <c r="I32" s="209"/>
      <c r="J32" s="268"/>
    </row>
    <row r="33" spans="1:9" ht="12.75">
      <c r="A33" s="203" t="s">
        <v>645</v>
      </c>
      <c r="C33" s="265">
        <f>SUM(C30:C32)</f>
        <v>1070878434.5108578</v>
      </c>
      <c r="D33" s="265">
        <f>SUM(D30:D32)</f>
        <v>1156315434.5108578</v>
      </c>
      <c r="E33" s="265">
        <f>SUM(E30:E32)</f>
        <v>943052434.5108578</v>
      </c>
      <c r="F33" s="265"/>
      <c r="G33" s="265"/>
      <c r="H33" s="265"/>
      <c r="I33" s="209"/>
    </row>
    <row r="34" spans="1:9" ht="13.5" thickBot="1">
      <c r="A34" s="203" t="s">
        <v>81</v>
      </c>
      <c r="C34" s="297">
        <f>+C28+C33</f>
        <v>4339106657.948707</v>
      </c>
      <c r="D34" s="297">
        <f>+D28+D33</f>
        <v>5748937456.661538</v>
      </c>
      <c r="E34" s="297">
        <f>+E28+E33</f>
        <v>5507282655.816387</v>
      </c>
      <c r="F34" s="265"/>
      <c r="G34" s="265"/>
      <c r="H34" s="265"/>
      <c r="I34" s="209"/>
    </row>
    <row r="35" spans="2:9" ht="13.5" thickTop="1">
      <c r="B35" s="203"/>
      <c r="C35" s="265"/>
      <c r="D35" s="265"/>
      <c r="E35" s="265"/>
      <c r="F35" s="265"/>
      <c r="G35" s="265"/>
      <c r="H35" s="265"/>
      <c r="I35" s="209"/>
    </row>
    <row r="36" spans="2:9" ht="12.75">
      <c r="B36" s="250" t="s">
        <v>646</v>
      </c>
      <c r="C36" s="254">
        <f>+'Bal prueba 311216'!E40</f>
        <v>3863708769</v>
      </c>
      <c r="D36" s="254">
        <f>+'Bal prueba 311215'!E41</f>
        <v>3863708769</v>
      </c>
      <c r="E36" s="254">
        <f>+'Bal prueba 311215'!B41</f>
        <v>3863708769</v>
      </c>
      <c r="F36" s="254"/>
      <c r="G36" s="254">
        <f>+C36-D36</f>
        <v>0</v>
      </c>
      <c r="H36" s="254">
        <f>+D36-E36</f>
        <v>0</v>
      </c>
      <c r="I36" s="209"/>
    </row>
    <row r="37" spans="2:9" ht="12.75">
      <c r="B37" s="250" t="s">
        <v>647</v>
      </c>
      <c r="C37" s="254">
        <f>+'Bal prueba 311216'!E41+'Bal prueba 311216'!E42</f>
        <v>11184043967.594465</v>
      </c>
      <c r="D37" s="254">
        <f>+'Bal prueba 311215'!E42+'Bal prueba 311215'!E43</f>
        <v>10082336241.522816</v>
      </c>
      <c r="E37" s="254">
        <f>+'Bal prueba 311215'!B42+'Bal prueba 311215'!B43</f>
        <v>8458809609.982499</v>
      </c>
      <c r="F37" s="254"/>
      <c r="G37" s="254">
        <f>+C37-D37</f>
        <v>1101707726.0716496</v>
      </c>
      <c r="H37" s="254">
        <f>+D37-E37</f>
        <v>1623526631.5403166</v>
      </c>
      <c r="I37" s="209"/>
    </row>
    <row r="38" spans="1:9" ht="12.75">
      <c r="A38" s="203" t="s">
        <v>786</v>
      </c>
      <c r="C38" s="265">
        <f>SUM(C36:C37)</f>
        <v>15047752736.594465</v>
      </c>
      <c r="D38" s="265">
        <f>SUM(D36:D37)</f>
        <v>13946045010.522816</v>
      </c>
      <c r="E38" s="265">
        <f>SUM(E36:E37)</f>
        <v>12322518378.982498</v>
      </c>
      <c r="F38" s="265"/>
      <c r="G38" s="265"/>
      <c r="H38" s="265"/>
      <c r="I38" s="209"/>
    </row>
    <row r="39" spans="1:9" ht="13.5" thickBot="1">
      <c r="A39" s="203" t="s">
        <v>787</v>
      </c>
      <c r="C39" s="297">
        <f>+C38+C34</f>
        <v>19386859394.54317</v>
      </c>
      <c r="D39" s="297">
        <f>+D38+D34</f>
        <v>19694982467.184353</v>
      </c>
      <c r="E39" s="297">
        <f>+E38+E34</f>
        <v>17829801034.798885</v>
      </c>
      <c r="F39" s="265"/>
      <c r="G39" s="265"/>
      <c r="H39" s="265"/>
      <c r="I39" s="209"/>
    </row>
    <row r="40" spans="2:9" ht="13.5" thickTop="1">
      <c r="B40" s="250"/>
      <c r="C40" s="272"/>
      <c r="D40" s="272"/>
      <c r="E40" s="272"/>
      <c r="F40" s="272"/>
      <c r="G40" s="272"/>
      <c r="H40" s="272"/>
      <c r="I40" s="209"/>
    </row>
    <row r="43" spans="3:5" ht="12.75">
      <c r="C43" s="273">
        <f>+C39-C23</f>
        <v>0.4890251159667969</v>
      </c>
      <c r="D43" s="273">
        <f>+D39-D23</f>
        <v>0.48790740966796875</v>
      </c>
      <c r="E43" s="273">
        <f>+E39-E23</f>
        <v>-0.0020904541015625</v>
      </c>
    </row>
  </sheetData>
  <sheetProtection/>
  <mergeCells count="1">
    <mergeCell ref="C5:D5"/>
  </mergeCells>
  <printOptions/>
  <pageMargins left="0.7" right="0.7" top="0.75" bottom="0.75" header="0.3" footer="0.3"/>
  <pageSetup fitToHeight="0" fitToWidth="1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="140" zoomScaleNormal="140" zoomScalePageLayoutView="0" workbookViewId="0" topLeftCell="A6">
      <selection activeCell="B13" sqref="B13"/>
    </sheetView>
  </sheetViews>
  <sheetFormatPr defaultColWidth="11.421875" defaultRowHeight="12.75"/>
  <cols>
    <col min="1" max="1" width="2.28125" style="143" customWidth="1"/>
    <col min="2" max="2" width="57.140625" style="143" customWidth="1"/>
    <col min="3" max="4" width="23.7109375" style="273" customWidth="1"/>
    <col min="5" max="5" width="11.421875" style="143" customWidth="1"/>
    <col min="6" max="6" width="19.7109375" style="143" customWidth="1"/>
    <col min="7" max="16384" width="11.421875" style="143" customWidth="1"/>
  </cols>
  <sheetData>
    <row r="1" spans="2:4" ht="12.75">
      <c r="B1" s="331" t="s">
        <v>664</v>
      </c>
      <c r="C1" s="331"/>
      <c r="D1" s="331"/>
    </row>
    <row r="2" spans="2:4" ht="12.75">
      <c r="B2" s="331" t="str">
        <f>+'Bal prueba 311216'!A1</f>
        <v>Empresa LVG</v>
      </c>
      <c r="C2" s="331"/>
      <c r="D2" s="331"/>
    </row>
    <row r="3" spans="2:4" ht="12.75">
      <c r="B3" s="331" t="s">
        <v>650</v>
      </c>
      <c r="C3" s="331"/>
      <c r="D3" s="331"/>
    </row>
    <row r="4" spans="2:4" ht="12.75">
      <c r="B4" s="251"/>
      <c r="C4" s="251"/>
      <c r="D4" s="251"/>
    </row>
    <row r="5" spans="2:4" ht="12.75">
      <c r="B5" s="164"/>
      <c r="C5" s="330" t="s">
        <v>782</v>
      </c>
      <c r="D5" s="330"/>
    </row>
    <row r="6" spans="2:4" ht="12.75">
      <c r="B6" s="164"/>
      <c r="C6" s="249">
        <v>2016</v>
      </c>
      <c r="D6" s="249">
        <v>2015</v>
      </c>
    </row>
    <row r="7" spans="2:4" ht="12.75">
      <c r="B7" s="164"/>
      <c r="C7" s="278"/>
      <c r="D7" s="278"/>
    </row>
    <row r="8" spans="1:6" ht="12.75">
      <c r="A8" s="203"/>
      <c r="B8" s="250" t="s">
        <v>653</v>
      </c>
      <c r="C8" s="279">
        <f>+'Bal prueba 311216'!E51+'Bal prueba 311216'!E52+'Bal prueba 311216'!E54</f>
        <v>17825000000</v>
      </c>
      <c r="D8" s="279">
        <f>+'Bal prueba 311215'!E52+'Bal prueba 311215'!E53+'Bal prueba 311215'!E55</f>
        <v>19824000000</v>
      </c>
      <c r="F8" s="280"/>
    </row>
    <row r="9" spans="1:6" ht="12.75">
      <c r="A9" s="203"/>
      <c r="B9" s="250" t="s">
        <v>260</v>
      </c>
      <c r="C9" s="327">
        <f>-'Bal prueba 311216'!E64-'Bal prueba 311216'!E65-'Bal prueba 311216'!E66+'Bal prueba 311216'!E59</f>
        <v>-11992109998</v>
      </c>
      <c r="D9" s="327">
        <f>-'Bal prueba 311215'!E65-'Bal prueba 311215'!E66-'Bal prueba 311215'!E67+'Bal prueba 311215'!E60</f>
        <v>-12458752999</v>
      </c>
      <c r="F9" s="281"/>
    </row>
    <row r="10" spans="1:4" ht="12.75">
      <c r="A10" s="203" t="s">
        <v>654</v>
      </c>
      <c r="C10" s="298">
        <f>+C8+C9</f>
        <v>5832890002</v>
      </c>
      <c r="D10" s="298">
        <f>+D8+D9</f>
        <v>7365247001</v>
      </c>
    </row>
    <row r="11" spans="1:6" ht="12.75">
      <c r="A11" s="203"/>
      <c r="B11" s="250" t="s">
        <v>789</v>
      </c>
      <c r="C11" s="327">
        <f>-'Bal prueba 311216'!E67-'Bal prueba 311216'!E68-'Bal prueba 311216'!E69-'Bal prueba 311216'!E70-'Bal prueba 311216'!E71-'Bal prueba 311216'!E72-'Bal prueba 311216'!E73-'Bal prueba 311216'!E74-'Bal prueba 311216'!E76-'Bal prueba 311216'!E77-'Bal prueba 311216'!E78</f>
        <v>-3990418186.997395</v>
      </c>
      <c r="D11" s="327">
        <f>-'Bal prueba 311215'!E68-'Bal prueba 311215'!E69-'Bal prueba 311215'!E70-'Bal prueba 311215'!E71-'Bal prueba 311215'!E72-'Bal prueba 311215'!E73-'Bal prueba 311215'!E74-'Bal prueba 311215'!E75-'Bal prueba 311215'!E77-'Bal prueba 311215'!E78-'Bal prueba 311215'!E79</f>
        <v>-4147962186.997395</v>
      </c>
      <c r="F11" s="283"/>
    </row>
    <row r="12" spans="1:4" ht="12.75">
      <c r="A12" s="203" t="s">
        <v>788</v>
      </c>
      <c r="B12" s="250"/>
      <c r="C12" s="329">
        <f>+C10+C11</f>
        <v>1842471815.002605</v>
      </c>
      <c r="D12" s="329">
        <f>+D10+D11</f>
        <v>3217284814.002605</v>
      </c>
    </row>
    <row r="13" spans="1:6" ht="12.75">
      <c r="A13" s="203"/>
      <c r="B13" s="250" t="s">
        <v>655</v>
      </c>
      <c r="C13" s="279">
        <f>+'Bal prueba 311216'!E60+'Bal prueba 311216'!E61</f>
        <v>135654000</v>
      </c>
      <c r="D13" s="279">
        <f>+'Bal prueba 311215'!E61+'Bal prueba 311215'!E62</f>
        <v>121000000</v>
      </c>
      <c r="F13" s="282"/>
    </row>
    <row r="14" spans="1:6" ht="12.75">
      <c r="A14" s="203"/>
      <c r="B14" s="250" t="s">
        <v>505</v>
      </c>
      <c r="C14" s="279">
        <f>-'Bal prueba 311216'!E75</f>
        <v>0</v>
      </c>
      <c r="D14" s="328">
        <f>-'Bal prueba 311215'!E76</f>
        <v>-35000000</v>
      </c>
      <c r="F14" s="284"/>
    </row>
    <row r="15" spans="1:6" ht="12.75">
      <c r="A15" s="203"/>
      <c r="B15" s="250" t="s">
        <v>657</v>
      </c>
      <c r="C15" s="279">
        <f>+'Bal prueba 311216'!E56+'Bal prueba 311216'!E57+'Bal prueba 311216'!E58+'Bal prueba 311216'!E53</f>
        <v>875980000</v>
      </c>
      <c r="D15" s="328">
        <f>+'Bal prueba 311215'!E57+'Bal prueba 311215'!E58+'Bal prueba 311215'!E59+'Bal prueba 311215'!E54</f>
        <v>-770063300</v>
      </c>
      <c r="F15" s="285"/>
    </row>
    <row r="16" spans="1:6" ht="12.75">
      <c r="A16" s="203"/>
      <c r="B16" s="250" t="s">
        <v>288</v>
      </c>
      <c r="C16" s="279">
        <f>+'Bal prueba 311216'!E55</f>
        <v>62728791.68778731</v>
      </c>
      <c r="D16" s="279">
        <f>+'Bal prueba 311215'!E56</f>
        <v>64904214.444436535</v>
      </c>
      <c r="F16" s="286"/>
    </row>
    <row r="17" spans="1:6" ht="12.75">
      <c r="A17" s="203"/>
      <c r="B17" s="250" t="s">
        <v>512</v>
      </c>
      <c r="C17" s="327">
        <f>-'Bal prueba 311216'!E79</f>
        <v>-244580880.61874187</v>
      </c>
      <c r="D17" s="327">
        <f>-'Bal prueba 311215'!E80</f>
        <v>-315599096.9067236</v>
      </c>
      <c r="F17" s="287"/>
    </row>
    <row r="18" spans="1:4" ht="12.75">
      <c r="A18" s="203" t="s">
        <v>659</v>
      </c>
      <c r="C18" s="298">
        <f>SUM(C12:C17)</f>
        <v>2672253726.0716505</v>
      </c>
      <c r="D18" s="298">
        <f>SUM(D12:D17)</f>
        <v>2282526631.540318</v>
      </c>
    </row>
    <row r="19" spans="1:6" ht="12.75">
      <c r="A19" s="203"/>
      <c r="B19" s="250" t="s">
        <v>660</v>
      </c>
      <c r="C19" s="327">
        <f>-'Bal prueba 311216'!E80-'Bal prueba 311216'!E81</f>
        <v>-570546000</v>
      </c>
      <c r="D19" s="327">
        <f>-'Bal prueba 311215'!E81-'Bal prueba 311215'!E82</f>
        <v>-659000000</v>
      </c>
      <c r="F19" s="288"/>
    </row>
    <row r="20" spans="1:6" ht="12.75">
      <c r="A20" s="203" t="s">
        <v>661</v>
      </c>
      <c r="C20" s="298">
        <f>+C18+C19</f>
        <v>2101707726.0716505</v>
      </c>
      <c r="D20" s="298">
        <f>+D18+D19</f>
        <v>1623526631.540318</v>
      </c>
      <c r="F20" s="289"/>
    </row>
    <row r="21" spans="1:6" ht="12.75">
      <c r="A21" s="203" t="s">
        <v>662</v>
      </c>
      <c r="C21" s="279"/>
      <c r="D21" s="279"/>
      <c r="F21" s="290"/>
    </row>
    <row r="22" spans="1:4" ht="13.5" thickBot="1">
      <c r="A22" s="203" t="s">
        <v>663</v>
      </c>
      <c r="C22" s="299">
        <f>+C20+C21</f>
        <v>2101707726.0716505</v>
      </c>
      <c r="D22" s="299">
        <f>+D20+D21</f>
        <v>1623526631.540318</v>
      </c>
    </row>
    <row r="23" ht="13.5" thickTop="1">
      <c r="A23" s="203"/>
    </row>
    <row r="24" ht="12.75">
      <c r="A24" s="203"/>
    </row>
    <row r="25" spans="3:4" ht="12.75">
      <c r="C25" s="273">
        <f>+'Bal prueba 311216'!E82-C22</f>
        <v>0</v>
      </c>
      <c r="D25" s="273">
        <f>+'Bal prueba 311215'!E83-D22</f>
        <v>0</v>
      </c>
    </row>
    <row r="26" spans="3:4" ht="12.75">
      <c r="C26" s="273" t="s">
        <v>0</v>
      </c>
      <c r="D26" s="273" t="s">
        <v>0</v>
      </c>
    </row>
    <row r="27" spans="2:4" ht="12.75">
      <c r="B27" s="291"/>
      <c r="C27" s="292"/>
      <c r="D27" s="292"/>
    </row>
    <row r="28" spans="2:4" ht="12.75">
      <c r="B28" s="293" t="s">
        <v>669</v>
      </c>
      <c r="C28" s="292"/>
      <c r="D28" s="292"/>
    </row>
    <row r="29" spans="2:4" ht="12.75">
      <c r="B29" s="291"/>
      <c r="C29" s="292">
        <f>+C6</f>
        <v>2016</v>
      </c>
      <c r="D29" s="292">
        <f>+D6</f>
        <v>2015</v>
      </c>
    </row>
    <row r="30" spans="2:4" ht="25.5">
      <c r="B30" s="275" t="s">
        <v>662</v>
      </c>
      <c r="C30" s="294">
        <f>SUM(C31:C33)</f>
        <v>0</v>
      </c>
      <c r="D30" s="294">
        <f>SUM(D31:D33)</f>
        <v>0</v>
      </c>
    </row>
    <row r="31" spans="2:5" ht="12.75">
      <c r="B31" s="291" t="s">
        <v>665</v>
      </c>
      <c r="C31" s="292">
        <v>0</v>
      </c>
      <c r="D31" s="292">
        <v>0</v>
      </c>
      <c r="E31" s="143" t="s">
        <v>700</v>
      </c>
    </row>
    <row r="32" spans="2:7" ht="12.75">
      <c r="B32" s="291" t="s">
        <v>666</v>
      </c>
      <c r="C32" s="292">
        <v>0</v>
      </c>
      <c r="D32" s="292">
        <v>0</v>
      </c>
      <c r="E32" s="143" t="s">
        <v>700</v>
      </c>
      <c r="F32" s="295" t="s">
        <v>0</v>
      </c>
      <c r="G32" s="295" t="s">
        <v>0</v>
      </c>
    </row>
    <row r="33" spans="2:4" ht="12.75">
      <c r="B33" s="291" t="s">
        <v>667</v>
      </c>
      <c r="C33" s="292">
        <f>-(C31+C32)*0.34</f>
        <v>0</v>
      </c>
      <c r="D33" s="292">
        <f>-(D31+D32)*0.34</f>
        <v>0</v>
      </c>
    </row>
  </sheetData>
  <sheetProtection/>
  <mergeCells count="4">
    <mergeCell ref="B1:D1"/>
    <mergeCell ref="B2:D2"/>
    <mergeCell ref="B3:D3"/>
    <mergeCell ref="C5:D5"/>
  </mergeCells>
  <printOptions/>
  <pageMargins left="0.7" right="0.7" top="0.75" bottom="0.75" header="0.3" footer="0.3"/>
  <pageSetup fitToHeight="0" fitToWidth="1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="130" zoomScaleNormal="130" zoomScalePageLayoutView="0" workbookViewId="0" topLeftCell="A7">
      <selection activeCell="D14" sqref="D14"/>
    </sheetView>
  </sheetViews>
  <sheetFormatPr defaultColWidth="11.421875" defaultRowHeight="12.75"/>
  <cols>
    <col min="1" max="1" width="4.7109375" style="192" customWidth="1"/>
    <col min="2" max="2" width="32.57421875" style="196" customWidth="1"/>
    <col min="3" max="3" width="27.7109375" style="196" customWidth="1"/>
    <col min="4" max="5" width="27.7109375" style="192" customWidth="1"/>
    <col min="6" max="16384" width="11.421875" style="192" customWidth="1"/>
  </cols>
  <sheetData>
    <row r="1" spans="1:5" ht="15.75">
      <c r="A1" s="333" t="s">
        <v>703</v>
      </c>
      <c r="B1" s="333"/>
      <c r="C1" s="333"/>
      <c r="D1" s="333"/>
      <c r="E1" s="333"/>
    </row>
    <row r="2" spans="1:5" ht="15.75">
      <c r="A2" s="333" t="str">
        <f>+'Bal prueba 311216'!A1</f>
        <v>Empresa LVG</v>
      </c>
      <c r="B2" s="333"/>
      <c r="C2" s="333"/>
      <c r="D2" s="333"/>
      <c r="E2" s="333"/>
    </row>
    <row r="3" spans="1:5" ht="15.75">
      <c r="A3" s="333" t="s">
        <v>650</v>
      </c>
      <c r="B3" s="333"/>
      <c r="C3" s="333"/>
      <c r="D3" s="333"/>
      <c r="E3" s="333"/>
    </row>
    <row r="6" spans="1:2" ht="15.75">
      <c r="A6" s="198"/>
      <c r="B6" s="195"/>
    </row>
    <row r="7" spans="1:5" ht="15.75">
      <c r="A7" s="194"/>
      <c r="B7" s="194"/>
      <c r="C7" s="332"/>
      <c r="D7" s="332"/>
      <c r="E7" s="332"/>
    </row>
    <row r="8" spans="1:5" ht="31.5">
      <c r="A8" s="194"/>
      <c r="B8" s="193"/>
      <c r="C8" s="193" t="s">
        <v>646</v>
      </c>
      <c r="D8" s="193" t="s">
        <v>775</v>
      </c>
      <c r="E8" s="193" t="s">
        <v>776</v>
      </c>
    </row>
    <row r="9" spans="1:5" ht="15.75">
      <c r="A9" s="197" t="s">
        <v>777</v>
      </c>
      <c r="B9" s="193"/>
      <c r="C9" s="241">
        <f>+ESF!E36</f>
        <v>3863708769</v>
      </c>
      <c r="D9" s="241">
        <f>+ESF!E37</f>
        <v>8458809609.982499</v>
      </c>
      <c r="E9" s="242">
        <f aca="true" t="shared" si="0" ref="E9:E15">SUM(C9:D9)</f>
        <v>12322518378.982498</v>
      </c>
    </row>
    <row r="10" spans="1:5" ht="15.75">
      <c r="A10" s="200"/>
      <c r="B10" s="191" t="s">
        <v>778</v>
      </c>
      <c r="C10" s="243">
        <v>0</v>
      </c>
      <c r="D10" s="243">
        <f>+ERI!D22</f>
        <v>1623526631.540318</v>
      </c>
      <c r="E10" s="243">
        <f t="shared" si="0"/>
        <v>1623526631.540318</v>
      </c>
    </row>
    <row r="11" spans="1:5" ht="15.75">
      <c r="A11" s="200"/>
      <c r="B11" s="191" t="s">
        <v>779</v>
      </c>
      <c r="C11" s="244"/>
      <c r="D11" s="244">
        <f>+(ESF!D37-ESF!E37)-ERI!D22</f>
        <v>0</v>
      </c>
      <c r="E11" s="244">
        <f t="shared" si="0"/>
        <v>0</v>
      </c>
    </row>
    <row r="12" spans="1:5" ht="15.75">
      <c r="A12" s="197" t="s">
        <v>780</v>
      </c>
      <c r="B12" s="193"/>
      <c r="C12" s="245">
        <f>SUM(C9:C11)</f>
        <v>3863708769</v>
      </c>
      <c r="D12" s="245">
        <f>SUM(D9:D11)</f>
        <v>10082336241.522818</v>
      </c>
      <c r="E12" s="242">
        <f t="shared" si="0"/>
        <v>13946045010.522818</v>
      </c>
    </row>
    <row r="13" spans="2:5" ht="15">
      <c r="B13" s="191" t="s">
        <v>778</v>
      </c>
      <c r="C13" s="243"/>
      <c r="D13" s="243">
        <f>+ERI!C22</f>
        <v>2101707726.0716505</v>
      </c>
      <c r="E13" s="243">
        <f t="shared" si="0"/>
        <v>2101707726.0716505</v>
      </c>
    </row>
    <row r="14" spans="2:5" ht="15">
      <c r="B14" s="191" t="s">
        <v>779</v>
      </c>
      <c r="C14" s="243"/>
      <c r="D14" s="246">
        <f>+(ESF!C37-ESF!D37)-ERI!C22</f>
        <v>-1000000000.000001</v>
      </c>
      <c r="E14" s="246">
        <f t="shared" si="0"/>
        <v>-1000000000.000001</v>
      </c>
    </row>
    <row r="15" spans="1:5" ht="16.5" thickBot="1">
      <c r="A15" s="197" t="s">
        <v>781</v>
      </c>
      <c r="B15" s="193"/>
      <c r="C15" s="247">
        <f>SUM(C12:C14)</f>
        <v>3863708769</v>
      </c>
      <c r="D15" s="247">
        <f>SUM(D12:D14)</f>
        <v>11184043967.594467</v>
      </c>
      <c r="E15" s="247">
        <f t="shared" si="0"/>
        <v>15047752736.594467</v>
      </c>
    </row>
    <row r="16" spans="2:5" ht="15.75" thickTop="1">
      <c r="B16" s="192"/>
      <c r="D16" s="196"/>
      <c r="E16" s="196"/>
    </row>
    <row r="19" ht="15">
      <c r="E19" s="192">
        <f>+ESF!C38</f>
        <v>15047752736.594465</v>
      </c>
    </row>
    <row r="20" spans="5:6" ht="15">
      <c r="E20" s="192">
        <f>+E15-E19</f>
        <v>0</v>
      </c>
      <c r="F20" s="192" t="s">
        <v>267</v>
      </c>
    </row>
  </sheetData>
  <sheetProtection/>
  <mergeCells count="4">
    <mergeCell ref="C7:E7"/>
    <mergeCell ref="A1:E1"/>
    <mergeCell ref="A2:E2"/>
    <mergeCell ref="A3:E3"/>
  </mergeCells>
  <printOptions/>
  <pageMargins left="0.7" right="0.7" top="0.75" bottom="0.75" header="0.3" footer="0.3"/>
  <pageSetup fitToHeight="0" fitToWidth="1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zoomScale="140" zoomScaleNormal="140" zoomScalePageLayoutView="0" workbookViewId="0" topLeftCell="A19">
      <selection activeCell="C45" sqref="C45"/>
    </sheetView>
  </sheetViews>
  <sheetFormatPr defaultColWidth="11.421875" defaultRowHeight="12.75"/>
  <cols>
    <col min="1" max="1" width="4.28125" style="164" customWidth="1"/>
    <col min="2" max="2" width="60.57421875" style="164" customWidth="1"/>
    <col min="3" max="4" width="28.57421875" style="309" customWidth="1"/>
    <col min="5" max="5" width="41.00390625" style="164" customWidth="1"/>
    <col min="6" max="6" width="20.57421875" style="164" bestFit="1" customWidth="1"/>
    <col min="7" max="16384" width="11.421875" style="164" customWidth="1"/>
  </cols>
  <sheetData>
    <row r="1" spans="2:4" ht="12.75">
      <c r="B1" s="331" t="s">
        <v>790</v>
      </c>
      <c r="C1" s="331"/>
      <c r="D1" s="331"/>
    </row>
    <row r="2" spans="2:4" ht="12.75">
      <c r="B2" s="331" t="str">
        <f>+'Bal prueba 311216'!A1</f>
        <v>Empresa LVG</v>
      </c>
      <c r="C2" s="331"/>
      <c r="D2" s="331"/>
    </row>
    <row r="3" spans="2:4" ht="12.75">
      <c r="B3" s="331" t="s">
        <v>650</v>
      </c>
      <c r="C3" s="331"/>
      <c r="D3" s="331"/>
    </row>
    <row r="5" spans="3:4" ht="12.75">
      <c r="C5" s="334" t="s">
        <v>782</v>
      </c>
      <c r="D5" s="334"/>
    </row>
    <row r="6" spans="3:4" ht="12.75">
      <c r="C6" s="304">
        <v>2016</v>
      </c>
      <c r="D6" s="304">
        <v>2015</v>
      </c>
    </row>
    <row r="7" spans="2:5" ht="12.75">
      <c r="B7" s="274"/>
      <c r="C7" s="305"/>
      <c r="D7" s="305"/>
      <c r="E7" s="300"/>
    </row>
    <row r="8" spans="1:5" ht="12.75">
      <c r="A8" s="144" t="s">
        <v>791</v>
      </c>
      <c r="C8" s="305"/>
      <c r="D8" s="305"/>
      <c r="E8" s="300"/>
    </row>
    <row r="9" spans="2:5" ht="12.75">
      <c r="B9" s="143" t="s">
        <v>792</v>
      </c>
      <c r="C9" s="305">
        <f>+ERI!C18</f>
        <v>2672253726.0716505</v>
      </c>
      <c r="D9" s="305">
        <f>+ERI!D18</f>
        <v>2282526631.540318</v>
      </c>
      <c r="E9" s="300"/>
    </row>
    <row r="10" spans="1:5" ht="12.75">
      <c r="A10" s="144" t="s">
        <v>793</v>
      </c>
      <c r="B10" s="274"/>
      <c r="C10" s="305"/>
      <c r="D10" s="305"/>
      <c r="E10" s="300"/>
    </row>
    <row r="11" spans="1:5" ht="12.75">
      <c r="A11" s="144"/>
      <c r="B11" s="301" t="s">
        <v>676</v>
      </c>
      <c r="C11" s="305">
        <f>+'Bal prueba 311216'!E72+'Bal prueba 311216'!E76</f>
        <v>452462186.99739504</v>
      </c>
      <c r="D11" s="305">
        <f>+'Bal prueba 311215'!E73+'Bal prueba 311215'!E77</f>
        <v>441462186.99739504</v>
      </c>
      <c r="E11" s="300"/>
    </row>
    <row r="12" spans="1:5" ht="25.5">
      <c r="A12" s="144"/>
      <c r="B12" s="301" t="s">
        <v>677</v>
      </c>
      <c r="C12" s="305"/>
      <c r="D12" s="305"/>
      <c r="E12" s="300"/>
    </row>
    <row r="13" spans="1:5" ht="12.75">
      <c r="A13" s="144"/>
      <c r="B13" s="301" t="s">
        <v>678</v>
      </c>
      <c r="C13" s="356">
        <f>-'Bal prueba 311216'!E53-'Bal prueba 311216'!E57-'Bal prueba 311216'!E58</f>
        <v>-898000000</v>
      </c>
      <c r="D13" s="305">
        <f>-'Bal prueba 311215'!E54-'Bal prueba 311215'!E58-'Bal prueba 311215'!E59</f>
        <v>835500000</v>
      </c>
      <c r="E13" s="300"/>
    </row>
    <row r="14" spans="1:5" ht="12.75">
      <c r="A14" s="303" t="s">
        <v>794</v>
      </c>
      <c r="B14" s="274"/>
      <c r="C14" s="305"/>
      <c r="D14" s="305"/>
      <c r="E14" s="300"/>
    </row>
    <row r="15" spans="2:5" ht="12.75">
      <c r="B15" s="301" t="s">
        <v>671</v>
      </c>
      <c r="C15" s="305">
        <f>-ESF!G11</f>
        <v>1086158421</v>
      </c>
      <c r="D15" s="356">
        <f>-ESF!H11</f>
        <v>-3645277060</v>
      </c>
      <c r="E15" s="300" t="s">
        <v>770</v>
      </c>
    </row>
    <row r="16" spans="2:5" ht="25.5">
      <c r="B16" s="301" t="s">
        <v>672</v>
      </c>
      <c r="C16" s="305">
        <f>-ESF!G9</f>
        <v>53406566.23143768</v>
      </c>
      <c r="D16" s="305">
        <f>-ESF!H9</f>
        <v>443694245.42032075</v>
      </c>
      <c r="E16" s="300" t="s">
        <v>702</v>
      </c>
    </row>
    <row r="17" spans="2:5" ht="25.5">
      <c r="B17" s="301" t="s">
        <v>673</v>
      </c>
      <c r="C17" s="305">
        <f>-ESF!G10</f>
        <v>110046891.8918919</v>
      </c>
      <c r="D17" s="305">
        <f>-ESF!H10</f>
        <v>29243920.623326004</v>
      </c>
      <c r="E17" s="300" t="s">
        <v>770</v>
      </c>
    </row>
    <row r="18" spans="2:5" ht="25.5">
      <c r="B18" s="301" t="s">
        <v>674</v>
      </c>
      <c r="C18" s="356">
        <f>+ESF!G25</f>
        <v>-937347383.27</v>
      </c>
      <c r="D18" s="305">
        <f>+ESF!H25</f>
        <v>394120000</v>
      </c>
      <c r="E18" s="300" t="s">
        <v>701</v>
      </c>
    </row>
    <row r="19" spans="2:5" ht="25.5">
      <c r="B19" s="301" t="s">
        <v>675</v>
      </c>
      <c r="C19" s="305"/>
      <c r="D19" s="305"/>
      <c r="E19" s="300" t="s">
        <v>701</v>
      </c>
    </row>
    <row r="20" spans="2:5" ht="12.75">
      <c r="B20" s="301" t="s">
        <v>679</v>
      </c>
      <c r="C20" s="306">
        <f>+ESF!G30</f>
        <v>37563000</v>
      </c>
      <c r="D20" s="306">
        <f>+ESF!H30</f>
        <v>70263000</v>
      </c>
      <c r="E20" s="300" t="s">
        <v>702</v>
      </c>
    </row>
    <row r="21" spans="1:5" ht="12.75">
      <c r="A21" s="65" t="s">
        <v>795</v>
      </c>
      <c r="C21" s="307">
        <f>SUM(C9:C20)</f>
        <v>2576543408.922375</v>
      </c>
      <c r="D21" s="307">
        <f>SUM(D9:D20)</f>
        <v>851532924.5813599</v>
      </c>
      <c r="E21" s="300"/>
    </row>
    <row r="22" spans="2:5" ht="12.75">
      <c r="B22" s="301" t="s">
        <v>681</v>
      </c>
      <c r="C22" s="357">
        <f>+ERI!C19-ESF!G12+ESF!G26+ESF!G31</f>
        <v>-475532000</v>
      </c>
      <c r="D22" s="357">
        <f>+ERI!D19-ESF!H12+ESF!H26+ESF!H31</f>
        <v>-254000000</v>
      </c>
      <c r="E22" s="300"/>
    </row>
    <row r="23" spans="1:5" ht="12.75">
      <c r="A23" s="65" t="s">
        <v>683</v>
      </c>
      <c r="C23" s="307">
        <f>SUM(C21:C22)</f>
        <v>2101011408.9223752</v>
      </c>
      <c r="D23" s="307">
        <f>SUM(D21:D22)</f>
        <v>597532924.5813599</v>
      </c>
      <c r="E23" s="300"/>
    </row>
    <row r="24" spans="1:5" ht="12.75">
      <c r="A24" s="65"/>
      <c r="C24" s="307"/>
      <c r="D24" s="307"/>
      <c r="E24" s="300"/>
    </row>
    <row r="25" spans="1:5" ht="12.75">
      <c r="A25" s="144" t="s">
        <v>796</v>
      </c>
      <c r="B25" s="274"/>
      <c r="C25" s="305"/>
      <c r="D25" s="305"/>
      <c r="E25" s="300"/>
    </row>
    <row r="26" spans="2:5" ht="25.5">
      <c r="B26" s="301" t="s">
        <v>1113</v>
      </c>
      <c r="C26" s="305">
        <f>-ESF!G13-ESF!G21+'Bal prueba 311216'!E57</f>
        <v>0</v>
      </c>
      <c r="D26" s="305">
        <f>-ESF!H13-ESF!H21+'Bal prueba 311215'!E58</f>
        <v>120698548.00191641</v>
      </c>
      <c r="E26" s="300" t="s">
        <v>701</v>
      </c>
    </row>
    <row r="27" spans="2:5" ht="12.75">
      <c r="B27" s="301" t="s">
        <v>686</v>
      </c>
      <c r="C27" s="305"/>
      <c r="D27" s="305"/>
      <c r="E27" s="300"/>
    </row>
    <row r="28" spans="2:5" ht="12.75">
      <c r="B28" s="301" t="s">
        <v>1114</v>
      </c>
      <c r="C28" s="356">
        <f>-ESF!G16-ESF!G17-'Bal prueba 311216'!E72+'Bal prueba 311216'!E58</f>
        <v>-650000000.0000005</v>
      </c>
      <c r="D28" s="305">
        <f>-ESF!H16-ESF!H17-'Bal prueba 311215'!E73+'Bal prueba 311215'!E59</f>
        <v>-4.76837158203125E-07</v>
      </c>
      <c r="E28" s="300"/>
    </row>
    <row r="29" spans="2:5" ht="12.75">
      <c r="B29" s="301" t="s">
        <v>1115</v>
      </c>
      <c r="C29" s="356">
        <f>-ESF!G20+'Bal prueba 311216'!E53</f>
        <v>-25000000</v>
      </c>
      <c r="D29" s="356">
        <f>-ESF!H20+'Bal prueba 311215'!E54</f>
        <v>-78000000</v>
      </c>
      <c r="E29" s="300"/>
    </row>
    <row r="30" spans="2:5" ht="12.75">
      <c r="B30" s="301" t="s">
        <v>689</v>
      </c>
      <c r="C30" s="357">
        <f>-ESF!G18-'Bal prueba 311216'!C76</f>
        <v>-36000000</v>
      </c>
      <c r="D30" s="306">
        <f>-ESF!H18-'Bal prueba 311215'!E77</f>
        <v>0</v>
      </c>
      <c r="E30" s="300"/>
    </row>
    <row r="31" spans="1:5" ht="12.75">
      <c r="A31" s="65" t="s">
        <v>690</v>
      </c>
      <c r="C31" s="358">
        <f>SUM(C25:C30)</f>
        <v>-711000000.0000005</v>
      </c>
      <c r="D31" s="307">
        <f>SUM(D25:D30)</f>
        <v>42698548.00191593</v>
      </c>
      <c r="E31" s="300"/>
    </row>
    <row r="32" spans="2:5" ht="12.75">
      <c r="B32" s="274"/>
      <c r="C32" s="307"/>
      <c r="D32" s="307"/>
      <c r="E32" s="300"/>
    </row>
    <row r="33" spans="1:5" ht="12.75">
      <c r="A33" s="144" t="s">
        <v>797</v>
      </c>
      <c r="B33" s="274"/>
      <c r="C33" s="305"/>
      <c r="D33" s="305"/>
      <c r="E33" s="300"/>
    </row>
    <row r="34" spans="2:5" ht="12.75">
      <c r="B34" s="301" t="s">
        <v>691</v>
      </c>
      <c r="C34" s="305"/>
      <c r="D34" s="305"/>
      <c r="E34" s="300"/>
    </row>
    <row r="35" spans="2:5" ht="12.75">
      <c r="B35" s="301" t="s">
        <v>692</v>
      </c>
      <c r="C35" s="305"/>
      <c r="D35" s="305"/>
      <c r="E35" s="300"/>
    </row>
    <row r="36" spans="2:5" ht="12.75">
      <c r="B36" s="301" t="s">
        <v>693</v>
      </c>
      <c r="C36" s="356">
        <f>+ESF!G27</f>
        <v>-551046415.4428315</v>
      </c>
      <c r="D36" s="356">
        <f>+ESF!H27</f>
        <v>-627728199.1548495</v>
      </c>
      <c r="E36" s="300"/>
    </row>
    <row r="37" spans="2:5" ht="12.75">
      <c r="B37" s="301" t="s">
        <v>694</v>
      </c>
      <c r="C37" s="305"/>
      <c r="D37" s="305"/>
      <c r="E37" s="300"/>
    </row>
    <row r="38" spans="2:5" ht="12.75">
      <c r="B38" s="301" t="s">
        <v>680</v>
      </c>
      <c r="C38" s="356">
        <f>+'Cam pat'!D14</f>
        <v>-1000000000.000001</v>
      </c>
      <c r="D38" s="356">
        <f>+'Cam pat'!D11</f>
        <v>0</v>
      </c>
      <c r="E38" s="300"/>
    </row>
    <row r="39" spans="2:5" ht="12.75">
      <c r="B39" s="301" t="s">
        <v>682</v>
      </c>
      <c r="C39" s="306"/>
      <c r="D39" s="306"/>
      <c r="E39" s="302">
        <f>+ESF!E3</f>
        <v>0</v>
      </c>
    </row>
    <row r="40" spans="1:5" ht="12.75">
      <c r="A40" s="144" t="s">
        <v>695</v>
      </c>
      <c r="C40" s="358">
        <f>SUM(C34:C39)</f>
        <v>-1551046415.4428325</v>
      </c>
      <c r="D40" s="358">
        <f>SUM(D34:D39)</f>
        <v>-627728199.1548495</v>
      </c>
      <c r="E40" s="302">
        <f>+ESF!E4</f>
        <v>0</v>
      </c>
    </row>
    <row r="41" spans="1:5" ht="12.75">
      <c r="A41" s="144"/>
      <c r="C41" s="308"/>
      <c r="D41" s="308"/>
      <c r="E41" s="302" t="str">
        <f>+ESF!E5</f>
        <v>A enero 1 de</v>
      </c>
    </row>
    <row r="42" spans="2:5" ht="25.5">
      <c r="B42" s="274" t="s">
        <v>696</v>
      </c>
      <c r="C42" s="357">
        <f>+C40+C31+C23</f>
        <v>-161035006.52045774</v>
      </c>
      <c r="D42" s="357">
        <f>+D40+D31+D23</f>
        <v>12503273.428426266</v>
      </c>
      <c r="E42" s="302">
        <f>+ESF!E6</f>
        <v>2015</v>
      </c>
    </row>
    <row r="43" spans="2:4" ht="12.75">
      <c r="B43" s="274" t="s">
        <v>697</v>
      </c>
      <c r="C43" s="357">
        <f>+ESF!D8</f>
        <v>798282272.938427</v>
      </c>
      <c r="D43" s="357">
        <f>+ESF!E8</f>
        <v>785779000</v>
      </c>
    </row>
    <row r="44" spans="2:4" ht="13.5" thickBot="1">
      <c r="B44" s="274" t="s">
        <v>698</v>
      </c>
      <c r="C44" s="359">
        <f>+ESF!C8</f>
        <v>637247266.4168539</v>
      </c>
      <c r="D44" s="359">
        <f>+ESF!D8</f>
        <v>798282272.938427</v>
      </c>
    </row>
    <row r="45" spans="2:5" ht="13.5" thickTop="1">
      <c r="B45" s="143"/>
      <c r="E45" s="300"/>
    </row>
    <row r="46" spans="2:5" ht="12.75">
      <c r="B46" s="143"/>
      <c r="E46" s="300"/>
    </row>
    <row r="47" ht="12.75">
      <c r="E47" s="300"/>
    </row>
    <row r="48" ht="12.75">
      <c r="E48" s="300"/>
    </row>
    <row r="49" spans="3:5" ht="12.75">
      <c r="C49" s="310">
        <f>+C44-C43-C42</f>
        <v>-0.0011153221130371094</v>
      </c>
      <c r="D49" s="310">
        <f>+D44-D43-D42</f>
        <v>-0.48999929428100586</v>
      </c>
      <c r="E49" s="300"/>
    </row>
    <row r="50" spans="3:5" ht="12.75">
      <c r="C50" s="310">
        <f>+C44-C43</f>
        <v>-161035006.52157307</v>
      </c>
      <c r="D50" s="310">
        <f>+D44-D43</f>
        <v>12503272.938426971</v>
      </c>
      <c r="E50" s="300"/>
    </row>
    <row r="51" spans="3:5" ht="12.75">
      <c r="C51" s="310">
        <f>+C42-C50</f>
        <v>0.0011153221130371094</v>
      </c>
      <c r="D51" s="310">
        <f>+D42-D50</f>
        <v>0.48999929428100586</v>
      </c>
      <c r="E51" s="300"/>
    </row>
    <row r="52" spans="3:5" ht="12.75">
      <c r="C52" s="310"/>
      <c r="D52" s="310"/>
      <c r="E52" s="300"/>
    </row>
    <row r="53" spans="3:5" ht="12.75">
      <c r="C53" s="310">
        <f>+C51*2</f>
        <v>0.0022306442260742188</v>
      </c>
      <c r="D53" s="310">
        <f>+D51*2</f>
        <v>0.9799985885620117</v>
      </c>
      <c r="E53" s="300"/>
    </row>
    <row r="54" spans="3:5" ht="12.75">
      <c r="C54" s="310">
        <f>+C51/2</f>
        <v>0.0005576610565185547</v>
      </c>
      <c r="D54" s="310">
        <f>+D51/2</f>
        <v>0.24499964714050293</v>
      </c>
      <c r="E54" s="300"/>
    </row>
  </sheetData>
  <sheetProtection/>
  <mergeCells count="4">
    <mergeCell ref="B1:D1"/>
    <mergeCell ref="B2:D2"/>
    <mergeCell ref="B3:D3"/>
    <mergeCell ref="C5:D5"/>
  </mergeCells>
  <printOptions/>
  <pageMargins left="0.7" right="0.7" top="0.75" bottom="0.75" header="0.3" footer="0.3"/>
  <pageSetup fitToHeight="1" fitToWidth="1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zoomScalePageLayoutView="0" workbookViewId="0" topLeftCell="A1">
      <selection activeCell="B7" sqref="B7"/>
    </sheetView>
  </sheetViews>
  <sheetFormatPr defaultColWidth="11.421875" defaultRowHeight="12.75"/>
  <cols>
    <col min="1" max="1" width="60.00390625" style="0" customWidth="1"/>
    <col min="2" max="3" width="28.00390625" style="44" customWidth="1"/>
    <col min="4" max="4" width="28.00390625" style="0" customWidth="1"/>
  </cols>
  <sheetData>
    <row r="1" spans="1:3" ht="15.75">
      <c r="A1" s="333" t="s">
        <v>699</v>
      </c>
      <c r="B1" s="333"/>
      <c r="C1" s="333"/>
    </row>
    <row r="2" spans="1:3" ht="15.75">
      <c r="A2" s="333" t="str">
        <f>+'Bal prueba 311216'!A1</f>
        <v>Empresa LVG</v>
      </c>
      <c r="B2" s="333"/>
      <c r="C2" s="333"/>
    </row>
    <row r="3" spans="1:3" ht="15.75">
      <c r="A3" s="333" t="s">
        <v>650</v>
      </c>
      <c r="B3" s="333"/>
      <c r="C3" s="333"/>
    </row>
    <row r="4" spans="1:3" ht="15.75">
      <c r="A4" s="199"/>
      <c r="B4" s="199"/>
      <c r="C4" s="199"/>
    </row>
    <row r="5" spans="1:3" ht="15.75">
      <c r="A5" s="193" t="s">
        <v>714</v>
      </c>
      <c r="B5" s="201" t="s">
        <v>651</v>
      </c>
      <c r="C5" s="201" t="s">
        <v>652</v>
      </c>
    </row>
    <row r="6" spans="1:3" ht="15.75">
      <c r="A6" s="193"/>
      <c r="B6" s="238"/>
      <c r="C6" s="239"/>
    </row>
    <row r="7" spans="1:3" ht="31.5">
      <c r="A7" s="193" t="s">
        <v>670</v>
      </c>
      <c r="B7" s="238"/>
      <c r="C7" s="239"/>
    </row>
    <row r="8" spans="1:3" ht="15.75">
      <c r="A8" s="193" t="s">
        <v>715</v>
      </c>
      <c r="B8" s="238"/>
      <c r="C8" s="239"/>
    </row>
    <row r="9" spans="1:3" ht="30">
      <c r="A9" s="194" t="s">
        <v>716</v>
      </c>
      <c r="B9" s="238">
        <f>+'Hojas flujo'!B3</f>
        <v>17878406566.231438</v>
      </c>
      <c r="C9" s="238">
        <f>+'Hojas flujo'!C3</f>
        <v>20267694245.42032</v>
      </c>
    </row>
    <row r="10" spans="1:3" ht="30">
      <c r="A10" s="194" t="s">
        <v>717</v>
      </c>
      <c r="B10" s="238">
        <f>+'Hojas flujo'!B11</f>
        <v>123000000</v>
      </c>
      <c r="C10" s="238">
        <f>+'Hojas flujo'!C11</f>
        <v>76000000</v>
      </c>
    </row>
    <row r="11" spans="1:3" ht="15">
      <c r="A11" s="202" t="s">
        <v>718</v>
      </c>
      <c r="B11" s="238"/>
      <c r="C11" s="239"/>
    </row>
    <row r="12" spans="1:3" ht="30">
      <c r="A12" s="194" t="s">
        <v>719</v>
      </c>
      <c r="B12" s="238">
        <f>+'Hojas flujo'!B17</f>
        <v>-13819734577</v>
      </c>
      <c r="C12" s="238">
        <f>+'Hojas flujo'!C17</f>
        <v>-17828973359</v>
      </c>
    </row>
    <row r="13" spans="1:3" ht="15">
      <c r="A13" s="194" t="s">
        <v>720</v>
      </c>
      <c r="B13" s="238">
        <f>+'Hojas flujo'!B37</f>
        <v>-1632540383.27</v>
      </c>
      <c r="C13" s="238">
        <f>+'Hojas flujo'!C37</f>
        <v>-1654000000</v>
      </c>
    </row>
    <row r="14" spans="1:3" ht="15">
      <c r="A14" s="194" t="s">
        <v>721</v>
      </c>
      <c r="B14" s="238" t="s">
        <v>0</v>
      </c>
      <c r="C14" s="239"/>
    </row>
    <row r="15" spans="1:3" ht="15">
      <c r="A15" s="194" t="s">
        <v>707</v>
      </c>
      <c r="B15" s="238">
        <f>+'Hojas flujo'!B44</f>
        <v>12654000</v>
      </c>
      <c r="C15" s="238">
        <f>+'Hojas flujo'!C44</f>
        <v>45000000</v>
      </c>
    </row>
    <row r="16" spans="1:3" ht="15">
      <c r="A16" s="194" t="s">
        <v>708</v>
      </c>
      <c r="B16" s="238">
        <f>+'Hojas flujo'!B48</f>
        <v>-207017880.61874187</v>
      </c>
      <c r="C16" s="238">
        <f>+'Hojas flujo'!C48</f>
        <v>-280336096.9067236</v>
      </c>
    </row>
    <row r="17" spans="1:3" ht="15">
      <c r="A17" s="194" t="s">
        <v>709</v>
      </c>
      <c r="B17" s="238">
        <f>+'Hojas flujo'!B55</f>
        <v>62728791.68778731</v>
      </c>
      <c r="C17" s="238">
        <f>+'Hojas flujo'!C55</f>
        <v>64904214.444436535</v>
      </c>
    </row>
    <row r="18" spans="1:3" ht="15">
      <c r="A18" s="194" t="s">
        <v>681</v>
      </c>
      <c r="B18" s="238">
        <f>+'Hojas flujo'!B60</f>
        <v>-475532000</v>
      </c>
      <c r="C18" s="238">
        <f>+'Hojas flujo'!C60</f>
        <v>-254000000</v>
      </c>
    </row>
    <row r="19" spans="1:3" ht="15.75" thickBot="1">
      <c r="A19" s="194" t="s">
        <v>682</v>
      </c>
      <c r="B19" s="238">
        <v>0</v>
      </c>
      <c r="C19" s="238">
        <v>0</v>
      </c>
    </row>
    <row r="20" spans="1:6" ht="32.25" thickTop="1">
      <c r="A20" s="193" t="s">
        <v>683</v>
      </c>
      <c r="B20" s="240">
        <f>SUM(B8:B19)</f>
        <v>1941964517.0304832</v>
      </c>
      <c r="C20" s="240">
        <f>SUM(C8:C19)</f>
        <v>436289003.95803154</v>
      </c>
      <c r="E20" s="152">
        <f>+B20-'Flujos indirecto'!C23</f>
        <v>-159046891.89189196</v>
      </c>
      <c r="F20" s="152">
        <f>+C20-'Flujos indirecto'!D23</f>
        <v>-161243920.62332833</v>
      </c>
    </row>
    <row r="21" spans="1:3" ht="31.5">
      <c r="A21" s="193" t="s">
        <v>684</v>
      </c>
      <c r="B21" s="238"/>
      <c r="C21" s="239"/>
    </row>
    <row r="22" spans="1:3" ht="30">
      <c r="A22" s="194" t="s">
        <v>685</v>
      </c>
      <c r="B22" s="238">
        <f>+'Hojas flujo'!B73</f>
        <v>0</v>
      </c>
      <c r="C22" s="238">
        <f>+'Hojas flujo'!C73</f>
        <v>120698548.00191641</v>
      </c>
    </row>
    <row r="23" spans="1:3" ht="30">
      <c r="A23" s="194" t="s">
        <v>686</v>
      </c>
      <c r="B23" s="238">
        <v>0</v>
      </c>
      <c r="C23" s="239"/>
    </row>
    <row r="24" spans="1:3" ht="15">
      <c r="A24" s="194" t="s">
        <v>687</v>
      </c>
      <c r="B24" s="238">
        <f>+'Hojas flujo'!B81</f>
        <v>-650000000.0000005</v>
      </c>
      <c r="C24" s="238">
        <f>+'Hojas flujo'!C81</f>
        <v>-4.76837158203125E-07</v>
      </c>
    </row>
    <row r="25" spans="1:3" ht="15">
      <c r="A25" s="194" t="s">
        <v>688</v>
      </c>
      <c r="B25" s="239"/>
      <c r="C25" s="239"/>
    </row>
    <row r="26" spans="1:3" ht="15">
      <c r="A26" s="194" t="s">
        <v>689</v>
      </c>
      <c r="B26" s="238">
        <f>+'Hojas flujo'!B89</f>
        <v>-36000000</v>
      </c>
      <c r="C26" s="238">
        <f>+'Hojas flujo'!C89</f>
        <v>0</v>
      </c>
    </row>
    <row r="27" spans="1:3" ht="15">
      <c r="A27" s="194" t="s">
        <v>710</v>
      </c>
      <c r="B27" s="238">
        <v>0</v>
      </c>
      <c r="C27" s="239"/>
    </row>
    <row r="28" spans="1:3" ht="15">
      <c r="A28" s="194" t="s">
        <v>711</v>
      </c>
      <c r="B28" s="238">
        <v>0</v>
      </c>
      <c r="C28" s="239"/>
    </row>
    <row r="29" spans="1:3" ht="15.75" thickBot="1">
      <c r="A29" s="194" t="s">
        <v>712</v>
      </c>
      <c r="B29" s="238">
        <v>0</v>
      </c>
      <c r="C29" s="239"/>
    </row>
    <row r="30" spans="1:3" ht="32.25" thickTop="1">
      <c r="A30" s="193" t="s">
        <v>690</v>
      </c>
      <c r="B30" s="240">
        <f>SUM(B22:B29)</f>
        <v>-686000000.0000005</v>
      </c>
      <c r="C30" s="240">
        <f>SUM(C22:C29)</f>
        <v>120698548.00191593</v>
      </c>
    </row>
    <row r="31" spans="1:3" ht="31.5">
      <c r="A31" s="193" t="s">
        <v>722</v>
      </c>
      <c r="B31" s="238"/>
      <c r="C31" s="239"/>
    </row>
    <row r="32" spans="1:3" ht="15">
      <c r="A32" s="194" t="s">
        <v>691</v>
      </c>
      <c r="B32" s="238">
        <v>0</v>
      </c>
      <c r="C32" s="239"/>
    </row>
    <row r="33" spans="1:3" ht="15">
      <c r="A33" s="194" t="s">
        <v>713</v>
      </c>
      <c r="B33" s="238">
        <v>0</v>
      </c>
      <c r="C33" s="239"/>
    </row>
    <row r="34" spans="1:3" ht="15">
      <c r="A34" s="194" t="s">
        <v>692</v>
      </c>
      <c r="B34" s="238">
        <v>0</v>
      </c>
      <c r="C34" s="239"/>
    </row>
    <row r="35" spans="1:3" ht="15">
      <c r="A35" s="194" t="s">
        <v>693</v>
      </c>
      <c r="B35" s="238">
        <f>+'Hojas flujo'!B96</f>
        <v>-551046415.4428315</v>
      </c>
      <c r="C35" s="238">
        <f>+'Hojas flujo'!C96</f>
        <v>-627728199.1548495</v>
      </c>
    </row>
    <row r="36" spans="1:3" ht="15">
      <c r="A36" s="194" t="s">
        <v>694</v>
      </c>
      <c r="B36" s="238">
        <v>0</v>
      </c>
      <c r="C36" s="239"/>
    </row>
    <row r="37" spans="1:3" ht="15">
      <c r="A37" s="194" t="s">
        <v>680</v>
      </c>
      <c r="B37" s="238">
        <f>+'Hojas flujo'!B103</f>
        <v>-1000000000.000001</v>
      </c>
      <c r="C37" s="238">
        <f>+'Hojas flujo'!C103</f>
        <v>0</v>
      </c>
    </row>
    <row r="38" spans="1:3" ht="15.75" thickBot="1">
      <c r="A38" s="194" t="s">
        <v>682</v>
      </c>
      <c r="B38" s="238">
        <v>0</v>
      </c>
      <c r="C38" s="239"/>
    </row>
    <row r="39" spans="1:3" ht="32.25" thickBot="1" thickTop="1">
      <c r="A39" s="194" t="s">
        <v>695</v>
      </c>
      <c r="B39" s="240">
        <f>SUM(B32:B38)</f>
        <v>-1551046415.4428325</v>
      </c>
      <c r="C39" s="240">
        <f>SUM(C32:C38)</f>
        <v>-627728199.1548495</v>
      </c>
    </row>
    <row r="40" spans="1:3" ht="32.25" thickTop="1">
      <c r="A40" s="193" t="s">
        <v>696</v>
      </c>
      <c r="B40" s="240">
        <f>+B39+B30+B20</f>
        <v>-295081898.4123497</v>
      </c>
      <c r="C40" s="240">
        <f>+C39+C30+C20</f>
        <v>-70740647.19490206</v>
      </c>
    </row>
    <row r="41" spans="1:3" ht="31.5">
      <c r="A41" s="193" t="s">
        <v>697</v>
      </c>
      <c r="B41" s="238">
        <f>+ESF!D8</f>
        <v>798282272.938427</v>
      </c>
      <c r="C41" s="238">
        <f>+ESF!E8</f>
        <v>785779000</v>
      </c>
    </row>
    <row r="42" spans="1:3" ht="15.75">
      <c r="A42" s="193" t="s">
        <v>698</v>
      </c>
      <c r="B42" s="238">
        <f>+ESF!C8</f>
        <v>637247266.4168539</v>
      </c>
      <c r="C42" s="238">
        <f>+ESF!D8</f>
        <v>798282272.938427</v>
      </c>
    </row>
    <row r="43" spans="2:3" ht="12.75">
      <c r="B43" s="239"/>
      <c r="C43" s="239"/>
    </row>
    <row r="44" spans="2:3" ht="12.75">
      <c r="B44" s="239"/>
      <c r="C44" s="239"/>
    </row>
    <row r="45" spans="2:3" ht="12.75">
      <c r="B45" s="239"/>
      <c r="C45" s="239"/>
    </row>
    <row r="46" spans="2:3" ht="12.75">
      <c r="B46" s="239"/>
      <c r="C46" s="239"/>
    </row>
    <row r="47" spans="2:3" ht="15">
      <c r="B47" s="237">
        <f>+B42-B41-B40</f>
        <v>134046891.89077663</v>
      </c>
      <c r="C47" s="237">
        <f>+C42-C41-C40</f>
        <v>83243920.13332903</v>
      </c>
    </row>
    <row r="48" spans="2:3" ht="15">
      <c r="B48" s="237">
        <f>+B42-B41</f>
        <v>-161035006.52157307</v>
      </c>
      <c r="C48" s="237">
        <f>+C42-C41</f>
        <v>12503272.938426971</v>
      </c>
    </row>
    <row r="49" spans="2:3" ht="15">
      <c r="B49" s="237">
        <f>+B40-B48</f>
        <v>-134046891.89077663</v>
      </c>
      <c r="C49" s="237">
        <f>+C40-C48</f>
        <v>-83243920.13332903</v>
      </c>
    </row>
    <row r="50" spans="2:3" ht="15">
      <c r="B50" s="237"/>
      <c r="C50" s="237"/>
    </row>
    <row r="51" spans="2:3" ht="15">
      <c r="B51" s="237">
        <f>+B49*2</f>
        <v>-268093783.78155327</v>
      </c>
      <c r="C51" s="237">
        <f>+C49*2</f>
        <v>-166487840.26665807</v>
      </c>
    </row>
    <row r="52" spans="2:3" ht="15">
      <c r="B52" s="237">
        <f>+B49/2</f>
        <v>-67023445.94538832</v>
      </c>
      <c r="C52" s="237">
        <f>+C49/2</f>
        <v>-41621960.06666452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fitToHeight="0" fitToWidth="1" orientation="portrait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96"/>
  <sheetViews>
    <sheetView showGridLines="0" zoomScalePageLayoutView="0" workbookViewId="0" topLeftCell="A1">
      <selection activeCell="B12" sqref="B12"/>
    </sheetView>
  </sheetViews>
  <sheetFormatPr defaultColWidth="20.421875" defaultRowHeight="12.75"/>
  <cols>
    <col min="1" max="1" width="50.28125" style="191" customWidth="1"/>
    <col min="2" max="3" width="27.7109375" style="191" customWidth="1"/>
    <col min="4" max="16384" width="20.421875" style="191" customWidth="1"/>
  </cols>
  <sheetData>
    <row r="2" spans="2:3" ht="15.75">
      <c r="B2" s="197" t="s">
        <v>225</v>
      </c>
      <c r="C2" s="197" t="s">
        <v>98</v>
      </c>
    </row>
    <row r="3" spans="1:3" ht="31.5">
      <c r="A3" s="193" t="s">
        <v>716</v>
      </c>
      <c r="B3" s="200">
        <f>SUM(B4:B7)</f>
        <v>17878406566.231438</v>
      </c>
      <c r="C3" s="200">
        <f>SUM(C4:C7)</f>
        <v>20267694245.42032</v>
      </c>
    </row>
    <row r="4" spans="1:3" ht="15">
      <c r="A4" s="194" t="s">
        <v>653</v>
      </c>
      <c r="B4" s="192">
        <f>+ERI!C8</f>
        <v>17825000000</v>
      </c>
      <c r="C4" s="192">
        <f>+ERI!D8</f>
        <v>19824000000</v>
      </c>
    </row>
    <row r="5" spans="1:3" ht="15">
      <c r="A5" s="194" t="s">
        <v>665</v>
      </c>
      <c r="B5" s="192">
        <f>+ERI!C31</f>
        <v>0</v>
      </c>
      <c r="C5" s="192">
        <f>+ERI!D31</f>
        <v>0</v>
      </c>
    </row>
    <row r="6" spans="1:3" ht="15">
      <c r="A6" s="191" t="s">
        <v>723</v>
      </c>
      <c r="B6" s="192">
        <f>+ESF!D9</f>
        <v>414578197.4211985</v>
      </c>
      <c r="C6" s="192">
        <f>+ESF!E9</f>
        <v>858272442.8415192</v>
      </c>
    </row>
    <row r="7" spans="1:3" ht="15">
      <c r="A7" s="191" t="s">
        <v>724</v>
      </c>
      <c r="B7" s="192">
        <f>-ESF!C9</f>
        <v>-361171631.1897608</v>
      </c>
      <c r="C7" s="192">
        <f>-ESF!D9</f>
        <v>-414578197.4211985</v>
      </c>
    </row>
    <row r="8" spans="2:3" ht="15">
      <c r="B8" s="192"/>
      <c r="C8" s="192"/>
    </row>
    <row r="9" spans="2:3" ht="15">
      <c r="B9" s="192"/>
      <c r="C9" s="192"/>
    </row>
    <row r="10" spans="2:3" ht="15.75">
      <c r="B10" s="197" t="s">
        <v>225</v>
      </c>
      <c r="C10" s="197" t="s">
        <v>98</v>
      </c>
    </row>
    <row r="11" spans="1:3" ht="47.25">
      <c r="A11" s="193" t="s">
        <v>717</v>
      </c>
      <c r="B11" s="200">
        <f>SUM(B12:B13)</f>
        <v>123000000</v>
      </c>
      <c r="C11" s="200">
        <f>SUM(C12:C13)</f>
        <v>76000000</v>
      </c>
    </row>
    <row r="12" spans="1:3" ht="15">
      <c r="A12" s="194" t="s">
        <v>655</v>
      </c>
      <c r="B12" s="192">
        <f>+ERI!C13</f>
        <v>135654000</v>
      </c>
      <c r="C12" s="192">
        <f>+ERI!D13</f>
        <v>121000000</v>
      </c>
    </row>
    <row r="13" spans="1:3" ht="15">
      <c r="A13" s="194" t="s">
        <v>732</v>
      </c>
      <c r="B13" s="192">
        <f>-B44</f>
        <v>-12654000</v>
      </c>
      <c r="C13" s="192">
        <f>-C44</f>
        <v>-45000000</v>
      </c>
    </row>
    <row r="14" spans="2:3" ht="15">
      <c r="B14" s="192"/>
      <c r="C14" s="192"/>
    </row>
    <row r="15" spans="2:3" ht="15">
      <c r="B15" s="192"/>
      <c r="C15" s="192"/>
    </row>
    <row r="16" spans="2:3" ht="15.75">
      <c r="B16" s="197" t="s">
        <v>225</v>
      </c>
      <c r="C16" s="197" t="s">
        <v>98</v>
      </c>
    </row>
    <row r="17" spans="1:3" ht="31.5">
      <c r="A17" s="193" t="s">
        <v>719</v>
      </c>
      <c r="B17" s="200">
        <f>SUM(B18:B33)</f>
        <v>-13819734577</v>
      </c>
      <c r="C17" s="200">
        <f>SUM(C18:C33)</f>
        <v>-17828973359</v>
      </c>
    </row>
    <row r="18" spans="1:3" ht="15">
      <c r="A18" s="194" t="s">
        <v>260</v>
      </c>
      <c r="B18" s="192">
        <f>+ERI!C9</f>
        <v>-11992109998</v>
      </c>
      <c r="C18" s="192">
        <f>+ERI!D9</f>
        <v>-12458752999</v>
      </c>
    </row>
    <row r="19" spans="1:3" ht="15">
      <c r="A19" s="194" t="s">
        <v>656</v>
      </c>
      <c r="B19" s="192">
        <f>+ERI!C11</f>
        <v>-3990418186.997395</v>
      </c>
      <c r="C19" s="192">
        <f>+ERI!D11</f>
        <v>-4147962186.997395</v>
      </c>
    </row>
    <row r="20" spans="1:3" ht="15">
      <c r="A20" s="194" t="s">
        <v>725</v>
      </c>
      <c r="B20" s="192">
        <f>-ESF!D25</f>
        <v>-2424560730</v>
      </c>
      <c r="C20" s="192">
        <f>-ESF!E25</f>
        <v>-2030440730</v>
      </c>
    </row>
    <row r="21" spans="1:3" ht="15">
      <c r="A21" s="194" t="s">
        <v>726</v>
      </c>
      <c r="B21" s="192">
        <f>+ESF!C25</f>
        <v>1487213346.73</v>
      </c>
      <c r="C21" s="192">
        <f>+ESF!D25</f>
        <v>2424560730</v>
      </c>
    </row>
    <row r="22" spans="1:3" ht="15">
      <c r="A22" s="194" t="s">
        <v>756</v>
      </c>
      <c r="B22" s="192">
        <f>+ESF!D11</f>
        <v>4748814888</v>
      </c>
      <c r="C22" s="192">
        <f>+ESF!E11</f>
        <v>1103537828</v>
      </c>
    </row>
    <row r="23" spans="1:3" ht="15">
      <c r="A23" s="194" t="s">
        <v>757</v>
      </c>
      <c r="B23" s="192">
        <f>-ESF!C11</f>
        <v>-3662656467</v>
      </c>
      <c r="C23" s="192">
        <f>-ESF!D11</f>
        <v>-4748814888</v>
      </c>
    </row>
    <row r="24" spans="1:3" ht="15">
      <c r="A24" s="194" t="s">
        <v>758</v>
      </c>
      <c r="B24" s="192">
        <f>+ESF!D20</f>
        <v>450000000</v>
      </c>
      <c r="C24" s="192">
        <f>+ESF!E20</f>
        <v>337500000</v>
      </c>
    </row>
    <row r="25" spans="1:3" ht="15">
      <c r="A25" s="194" t="s">
        <v>759</v>
      </c>
      <c r="B25" s="192">
        <f>-ESF!C20</f>
        <v>-501000000</v>
      </c>
      <c r="C25" s="192">
        <f>-ESF!D20</f>
        <v>-450000000</v>
      </c>
    </row>
    <row r="26" spans="1:3" ht="30">
      <c r="A26" s="194" t="s">
        <v>760</v>
      </c>
      <c r="B26" s="192">
        <f>+'Bal prueba 311216'!E53</f>
        <v>26000000</v>
      </c>
      <c r="C26" s="192">
        <f>+'Bal prueba 311215'!E54</f>
        <v>34500000</v>
      </c>
    </row>
    <row r="27" spans="1:3" ht="15">
      <c r="A27" s="194" t="s">
        <v>730</v>
      </c>
      <c r="B27" s="192">
        <f>-B37</f>
        <v>1632540383.27</v>
      </c>
      <c r="C27" s="192">
        <f>-C37</f>
        <v>1654000000</v>
      </c>
    </row>
    <row r="28" spans="1:3" ht="15">
      <c r="A28" s="194" t="s">
        <v>666</v>
      </c>
      <c r="B28" s="192">
        <f>+ERI!C32</f>
        <v>0</v>
      </c>
      <c r="C28" s="192">
        <f>+ERI!D32</f>
        <v>0</v>
      </c>
    </row>
    <row r="29" spans="1:3" ht="15">
      <c r="A29" s="194" t="s">
        <v>746</v>
      </c>
      <c r="B29" s="192">
        <f>-B84</f>
        <v>406462186.99739504</v>
      </c>
      <c r="C29" s="192">
        <f>-C84</f>
        <v>406462186.99739504</v>
      </c>
    </row>
    <row r="30" spans="1:3" ht="15">
      <c r="A30" s="194" t="s">
        <v>766</v>
      </c>
      <c r="B30" s="192">
        <f>-B92</f>
        <v>46000000</v>
      </c>
      <c r="C30" s="192">
        <f>-C92</f>
        <v>35000000</v>
      </c>
    </row>
    <row r="31" spans="1:3" ht="15">
      <c r="A31" s="194" t="s">
        <v>767</v>
      </c>
      <c r="B31" s="192">
        <f>-'Bal prueba 311216'!E78</f>
        <v>-11500000</v>
      </c>
      <c r="C31" s="192">
        <f>-'Bal prueba 311215'!E79</f>
        <v>0</v>
      </c>
    </row>
    <row r="32" spans="1:3" ht="15">
      <c r="A32" s="194" t="s">
        <v>768</v>
      </c>
      <c r="B32" s="192">
        <f>-'Bal prueba 311216'!E77</f>
        <v>-12500000</v>
      </c>
      <c r="C32" s="192">
        <f>-'Bal prueba 311215'!E78</f>
        <v>-54000000</v>
      </c>
    </row>
    <row r="33" spans="1:3" ht="30">
      <c r="A33" s="194" t="s">
        <v>769</v>
      </c>
      <c r="B33" s="192">
        <f>+'Bal prueba 311216'!E56</f>
        <v>-22020000</v>
      </c>
      <c r="C33" s="192">
        <f>+'Bal prueba 311215'!E57</f>
        <v>65436700</v>
      </c>
    </row>
    <row r="34" spans="2:3" ht="15.75">
      <c r="B34" s="200"/>
      <c r="C34" s="192"/>
    </row>
    <row r="35" spans="2:3" ht="15">
      <c r="B35" s="192"/>
      <c r="C35" s="192"/>
    </row>
    <row r="36" spans="2:3" ht="15.75">
      <c r="B36" s="197" t="s">
        <v>225</v>
      </c>
      <c r="C36" s="197" t="s">
        <v>98</v>
      </c>
    </row>
    <row r="37" spans="1:3" ht="15.75">
      <c r="A37" s="193" t="s">
        <v>720</v>
      </c>
      <c r="B37" s="200">
        <f>SUM(B38:B40)</f>
        <v>-1632540383.27</v>
      </c>
      <c r="C37" s="200">
        <f>SUM(C38:C40)</f>
        <v>-1654000000</v>
      </c>
    </row>
    <row r="38" spans="1:3" ht="15">
      <c r="A38" s="191" t="s">
        <v>727</v>
      </c>
      <c r="B38" s="192">
        <f>-'Bal prueba 311216'!C67</f>
        <v>-1655200000</v>
      </c>
      <c r="C38" s="192">
        <f>-'Bal prueba 311215'!C68</f>
        <v>-1660500000</v>
      </c>
    </row>
    <row r="39" spans="1:3" ht="15">
      <c r="A39" s="191" t="s">
        <v>728</v>
      </c>
      <c r="B39" s="192">
        <f>-'Bal prueba 311216'!B32</f>
        <v>-52065730</v>
      </c>
      <c r="C39" s="192">
        <f>-'Bal prueba 311215'!B33</f>
        <v>-45565730</v>
      </c>
    </row>
    <row r="40" spans="1:3" ht="15">
      <c r="A40" s="191" t="s">
        <v>729</v>
      </c>
      <c r="B40" s="192">
        <f>+'Bal prueba 311216'!E32</f>
        <v>74725346.73</v>
      </c>
      <c r="C40" s="192">
        <f>+'Bal prueba 311215'!E33</f>
        <v>52065730</v>
      </c>
    </row>
    <row r="41" spans="2:3" ht="15">
      <c r="B41" s="192"/>
      <c r="C41" s="192"/>
    </row>
    <row r="42" spans="2:3" ht="15">
      <c r="B42" s="192"/>
      <c r="C42" s="192"/>
    </row>
    <row r="43" spans="2:3" ht="15.75">
      <c r="B43" s="197" t="s">
        <v>225</v>
      </c>
      <c r="C43" s="197" t="s">
        <v>98</v>
      </c>
    </row>
    <row r="44" spans="1:3" ht="15.75">
      <c r="A44" s="193" t="s">
        <v>707</v>
      </c>
      <c r="B44" s="200">
        <f>+B45</f>
        <v>12654000</v>
      </c>
      <c r="C44" s="200">
        <f>+C45</f>
        <v>45000000</v>
      </c>
    </row>
    <row r="45" spans="1:3" ht="15">
      <c r="A45" s="191" t="s">
        <v>731</v>
      </c>
      <c r="B45" s="192">
        <f>+'Bal prueba 311216'!E60</f>
        <v>12654000</v>
      </c>
      <c r="C45" s="192">
        <f>+'Bal prueba 311215'!E61</f>
        <v>45000000</v>
      </c>
    </row>
    <row r="46" spans="2:3" ht="15">
      <c r="B46" s="192"/>
      <c r="C46" s="192"/>
    </row>
    <row r="47" spans="2:3" ht="15.75">
      <c r="B47" s="197" t="s">
        <v>225</v>
      </c>
      <c r="C47" s="197" t="s">
        <v>98</v>
      </c>
    </row>
    <row r="48" spans="1:3" ht="15.75">
      <c r="A48" s="193" t="s">
        <v>708</v>
      </c>
      <c r="B48" s="200">
        <f>SUM(B49:B50)</f>
        <v>-207017880.61874187</v>
      </c>
      <c r="C48" s="200">
        <f>SUM(C49:C50)</f>
        <v>-280336096.9067236</v>
      </c>
    </row>
    <row r="49" spans="1:3" ht="15">
      <c r="A49" s="194" t="s">
        <v>658</v>
      </c>
      <c r="B49" s="192">
        <f>+ERI!C17</f>
        <v>-244580880.61874187</v>
      </c>
      <c r="C49" s="192">
        <f>+ERI!D17</f>
        <v>-315599096.9067236</v>
      </c>
    </row>
    <row r="50" spans="1:3" ht="15">
      <c r="A50" s="194" t="s">
        <v>765</v>
      </c>
      <c r="B50" s="192">
        <f>+B111</f>
        <v>37563000</v>
      </c>
      <c r="C50" s="192">
        <f>+C111</f>
        <v>35263000</v>
      </c>
    </row>
    <row r="51" spans="2:3" ht="15">
      <c r="B51" s="192"/>
      <c r="C51" s="192"/>
    </row>
    <row r="52" spans="2:3" ht="15">
      <c r="B52" s="192"/>
      <c r="C52" s="192"/>
    </row>
    <row r="53" spans="2:3" ht="15.75">
      <c r="B53" s="197" t="s">
        <v>225</v>
      </c>
      <c r="C53" s="197" t="s">
        <v>98</v>
      </c>
    </row>
    <row r="54" spans="1:3" ht="15.75">
      <c r="A54" s="193" t="s">
        <v>709</v>
      </c>
      <c r="B54" s="200">
        <f>SUM(B55:B56)</f>
        <v>62728791.68778731</v>
      </c>
      <c r="C54" s="200">
        <f>SUM(C55:C56)</f>
        <v>64904214.444436535</v>
      </c>
    </row>
    <row r="55" spans="1:3" ht="15">
      <c r="A55" s="194" t="s">
        <v>288</v>
      </c>
      <c r="B55" s="192">
        <f>+ERI!C16</f>
        <v>62728791.68778731</v>
      </c>
      <c r="C55" s="192">
        <f>+ERI!D16</f>
        <v>64904214.444436535</v>
      </c>
    </row>
    <row r="56" spans="1:3" ht="15">
      <c r="A56" s="194"/>
      <c r="B56" s="192"/>
      <c r="C56" s="192"/>
    </row>
    <row r="57" spans="2:3" ht="15">
      <c r="B57" s="192"/>
      <c r="C57" s="192"/>
    </row>
    <row r="58" spans="2:3" ht="15">
      <c r="B58" s="192"/>
      <c r="C58" s="192"/>
    </row>
    <row r="59" spans="2:3" ht="15.75">
      <c r="B59" s="197" t="s">
        <v>225</v>
      </c>
      <c r="C59" s="197" t="s">
        <v>98</v>
      </c>
    </row>
    <row r="60" spans="1:3" ht="31.5">
      <c r="A60" s="193" t="s">
        <v>681</v>
      </c>
      <c r="B60" s="200">
        <f>SUM(B61:B68)</f>
        <v>-475532000</v>
      </c>
      <c r="C60" s="200">
        <f>SUM(C61:C68)</f>
        <v>-254000000</v>
      </c>
    </row>
    <row r="61" spans="1:3" ht="15">
      <c r="A61" s="194" t="s">
        <v>660</v>
      </c>
      <c r="B61" s="192">
        <f>+ERI!C19</f>
        <v>-570546000</v>
      </c>
      <c r="C61" s="192">
        <f>+ERI!D19</f>
        <v>-659000000</v>
      </c>
    </row>
    <row r="62" spans="1:3" ht="15">
      <c r="A62" s="194" t="s">
        <v>733</v>
      </c>
      <c r="B62" s="192">
        <f>+ERI!C33</f>
        <v>0</v>
      </c>
      <c r="C62" s="192">
        <f>+ERI!D33</f>
        <v>0</v>
      </c>
    </row>
    <row r="63" spans="1:3" ht="15">
      <c r="A63" s="194" t="s">
        <v>734</v>
      </c>
      <c r="B63" s="192">
        <f>-ESF!D26</f>
        <v>-516000000</v>
      </c>
      <c r="C63" s="192">
        <f>-ESF!E26</f>
        <v>-254000000</v>
      </c>
    </row>
    <row r="64" spans="1:3" ht="15">
      <c r="A64" s="194" t="s">
        <v>735</v>
      </c>
      <c r="B64" s="192">
        <f>+ESF!C26</f>
        <v>680000000</v>
      </c>
      <c r="C64" s="192">
        <f>+ESF!D26</f>
        <v>516000000</v>
      </c>
    </row>
    <row r="65" spans="1:3" ht="15">
      <c r="A65" s="194" t="s">
        <v>736</v>
      </c>
      <c r="B65" s="192">
        <f>-ESF!D31</f>
        <v>-754620977.999682</v>
      </c>
      <c r="C65" s="192">
        <f>-ESF!E31</f>
        <v>-611620977.999682</v>
      </c>
    </row>
    <row r="66" spans="1:3" ht="15">
      <c r="A66" s="194" t="s">
        <v>737</v>
      </c>
      <c r="B66" s="192">
        <f>+ESF!C31</f>
        <v>631620977.999682</v>
      </c>
      <c r="C66" s="192">
        <f>+ESF!D31</f>
        <v>754620977.999682</v>
      </c>
    </row>
    <row r="67" spans="1:3" ht="15">
      <c r="A67" s="194" t="s">
        <v>738</v>
      </c>
      <c r="B67" s="192">
        <f>+ESF!D12</f>
        <v>67560000</v>
      </c>
      <c r="C67" s="192">
        <f>+ESF!E12</f>
        <v>67560000</v>
      </c>
    </row>
    <row r="68" spans="1:3" ht="15">
      <c r="A68" s="194" t="s">
        <v>739</v>
      </c>
      <c r="B68" s="192">
        <f>-ESF!C12</f>
        <v>-13546000</v>
      </c>
      <c r="C68" s="192">
        <f>-ESF!D12</f>
        <v>-67560000</v>
      </c>
    </row>
    <row r="69" spans="2:3" ht="15">
      <c r="B69" s="192"/>
      <c r="C69" s="192"/>
    </row>
    <row r="70" spans="2:3" ht="15">
      <c r="B70" s="192"/>
      <c r="C70" s="192"/>
    </row>
    <row r="71" spans="2:3" ht="15">
      <c r="B71" s="192"/>
      <c r="C71" s="192"/>
    </row>
    <row r="72" spans="2:3" ht="15.75">
      <c r="B72" s="197" t="s">
        <v>225</v>
      </c>
      <c r="C72" s="197" t="s">
        <v>98</v>
      </c>
    </row>
    <row r="73" spans="1:3" ht="31.5">
      <c r="A73" s="193" t="s">
        <v>743</v>
      </c>
      <c r="B73" s="200">
        <f>SUM(B74:B76)</f>
        <v>0</v>
      </c>
      <c r="C73" s="200">
        <f>SUM(C74:C76)</f>
        <v>120698548.00191641</v>
      </c>
    </row>
    <row r="74" spans="1:3" ht="15">
      <c r="A74" s="194" t="s">
        <v>740</v>
      </c>
      <c r="B74" s="192">
        <f>+ESF!D21+ESF!D13</f>
        <v>2757000000</v>
      </c>
      <c r="C74" s="192">
        <f>+ESF!E21+ESF!E13</f>
        <v>3797698548.0019164</v>
      </c>
    </row>
    <row r="75" spans="1:3" ht="15">
      <c r="A75" s="194" t="s">
        <v>741</v>
      </c>
      <c r="B75" s="192">
        <f>-ESF!C13-ESF!C21</f>
        <v>-3559000000</v>
      </c>
      <c r="C75" s="192">
        <f>-ESF!D13-ESF!D21</f>
        <v>-2757000000</v>
      </c>
    </row>
    <row r="76" spans="1:3" ht="30">
      <c r="A76" s="194" t="s">
        <v>742</v>
      </c>
      <c r="B76" s="192">
        <f>+'Bal prueba 311216'!E57</f>
        <v>802000000</v>
      </c>
      <c r="C76" s="192">
        <f>+'Bal prueba 311215'!E58</f>
        <v>-920000000</v>
      </c>
    </row>
    <row r="77" spans="2:3" ht="15">
      <c r="B77" s="192"/>
      <c r="C77" s="192"/>
    </row>
    <row r="78" spans="2:3" ht="15">
      <c r="B78" s="192"/>
      <c r="C78" s="192"/>
    </row>
    <row r="79" spans="2:3" ht="15">
      <c r="B79" s="192"/>
      <c r="C79" s="192"/>
    </row>
    <row r="80" spans="2:3" ht="15.75">
      <c r="B80" s="197" t="s">
        <v>225</v>
      </c>
      <c r="C80" s="197" t="s">
        <v>98</v>
      </c>
    </row>
    <row r="81" spans="1:3" ht="15.75">
      <c r="A81" s="193" t="s">
        <v>23</v>
      </c>
      <c r="B81" s="200">
        <f>SUM(B82:B84)</f>
        <v>-650000000.0000005</v>
      </c>
      <c r="C81" s="200">
        <f>SUM(C82:C84)</f>
        <v>-4.76837158203125E-07</v>
      </c>
    </row>
    <row r="82" spans="1:3" ht="15">
      <c r="A82" s="191" t="s">
        <v>744</v>
      </c>
      <c r="B82" s="192">
        <f>+ESF!D16</f>
        <v>8309303764.444927</v>
      </c>
      <c r="C82" s="192">
        <f>+ESF!E16</f>
        <v>8715765951.442322</v>
      </c>
    </row>
    <row r="83" spans="1:3" ht="15">
      <c r="A83" s="191" t="s">
        <v>745</v>
      </c>
      <c r="B83" s="192">
        <f>-ESF!C16</f>
        <v>-8552841577.447533</v>
      </c>
      <c r="C83" s="192">
        <f>-ESF!D16</f>
        <v>-8309303764.444927</v>
      </c>
    </row>
    <row r="84" spans="1:3" ht="15">
      <c r="A84" s="191" t="s">
        <v>746</v>
      </c>
      <c r="B84" s="192">
        <f>-'Bal prueba 311216'!E72</f>
        <v>-406462186.99739504</v>
      </c>
      <c r="C84" s="192">
        <f>-'Bal prueba 311215'!E73</f>
        <v>-406462186.99739504</v>
      </c>
    </row>
    <row r="85" spans="1:3" ht="15">
      <c r="A85" s="191" t="s">
        <v>0</v>
      </c>
      <c r="B85" s="192"/>
      <c r="C85" s="192"/>
    </row>
    <row r="86" spans="2:3" ht="15">
      <c r="B86" s="192"/>
      <c r="C86" s="192"/>
    </row>
    <row r="87" spans="2:3" ht="15">
      <c r="B87" s="192"/>
      <c r="C87" s="192"/>
    </row>
    <row r="88" spans="2:3" ht="15.75">
      <c r="B88" s="197" t="s">
        <v>225</v>
      </c>
      <c r="C88" s="197" t="s">
        <v>98</v>
      </c>
    </row>
    <row r="89" spans="1:3" ht="15.75">
      <c r="A89" s="193" t="s">
        <v>19</v>
      </c>
      <c r="B89" s="200">
        <f>SUM(B90:B92)</f>
        <v>-36000000</v>
      </c>
      <c r="C89" s="200">
        <f>SUM(C90:C92)</f>
        <v>0</v>
      </c>
    </row>
    <row r="90" spans="1:3" ht="15">
      <c r="A90" s="191" t="s">
        <v>747</v>
      </c>
      <c r="B90" s="192">
        <f>+ESF!D18</f>
        <v>195000000</v>
      </c>
      <c r="C90" s="192">
        <f>+ESF!E18</f>
        <v>230000000</v>
      </c>
    </row>
    <row r="91" spans="1:3" ht="15">
      <c r="A91" s="191" t="s">
        <v>748</v>
      </c>
      <c r="B91" s="192">
        <f>-ESF!C18</f>
        <v>-185000000</v>
      </c>
      <c r="C91" s="192">
        <f>-ESF!D18</f>
        <v>-195000000</v>
      </c>
    </row>
    <row r="92" spans="1:3" ht="15">
      <c r="A92" s="191" t="s">
        <v>749</v>
      </c>
      <c r="B92" s="192">
        <f>-'Bal prueba 311216'!E76</f>
        <v>-46000000</v>
      </c>
      <c r="C92" s="192">
        <f>-'Bal prueba 311215'!E77</f>
        <v>-35000000</v>
      </c>
    </row>
    <row r="93" spans="1:3" ht="15">
      <c r="A93" s="191" t="s">
        <v>0</v>
      </c>
      <c r="B93" s="192" t="s">
        <v>0</v>
      </c>
      <c r="C93" s="192" t="s">
        <v>0</v>
      </c>
    </row>
    <row r="94" spans="2:3" ht="15">
      <c r="B94" s="192"/>
      <c r="C94" s="192"/>
    </row>
    <row r="95" spans="2:3" ht="15.75">
      <c r="B95" s="197" t="s">
        <v>225</v>
      </c>
      <c r="C95" s="197" t="s">
        <v>98</v>
      </c>
    </row>
    <row r="96" spans="1:3" ht="15.75">
      <c r="A96" s="193" t="s">
        <v>750</v>
      </c>
      <c r="B96" s="200">
        <f>SUM(B97:B99)</f>
        <v>-551046415.4428315</v>
      </c>
      <c r="C96" s="200">
        <f>SUM(C97:C99)</f>
        <v>-627728199.1548495</v>
      </c>
    </row>
    <row r="97" spans="1:3" ht="15">
      <c r="A97" s="191" t="s">
        <v>751</v>
      </c>
      <c r="B97" s="192">
        <f>-ESF!D32-ESF!D27</f>
        <v>-1652061292.15068</v>
      </c>
      <c r="C97" s="192">
        <f>-ESF!E32-ESF!E27</f>
        <v>-2279789491.3055296</v>
      </c>
    </row>
    <row r="98" spans="1:3" ht="15">
      <c r="A98" s="191" t="s">
        <v>752</v>
      </c>
      <c r="B98" s="192">
        <f>+ESF!C27+ESF!C32</f>
        <v>1101014876.7078485</v>
      </c>
      <c r="C98" s="192">
        <f>+ESF!D27+ESF!D32</f>
        <v>1652061292.15068</v>
      </c>
    </row>
    <row r="99" spans="2:3" ht="15">
      <c r="B99" s="192"/>
      <c r="C99" s="192"/>
    </row>
    <row r="100" spans="2:3" ht="15">
      <c r="B100" s="192"/>
      <c r="C100" s="192"/>
    </row>
    <row r="101" spans="2:3" ht="15">
      <c r="B101" s="192"/>
      <c r="C101" s="192"/>
    </row>
    <row r="102" spans="2:3" ht="15.75">
      <c r="B102" s="197" t="s">
        <v>225</v>
      </c>
      <c r="C102" s="197" t="s">
        <v>98</v>
      </c>
    </row>
    <row r="103" spans="1:3" ht="15.75">
      <c r="A103" s="193" t="s">
        <v>680</v>
      </c>
      <c r="B103" s="200">
        <f>SUM(B104:B106)</f>
        <v>-1000000000.000001</v>
      </c>
      <c r="C103" s="200">
        <f>SUM(C104:C106)</f>
        <v>0</v>
      </c>
    </row>
    <row r="104" spans="1:3" ht="15">
      <c r="A104" s="191" t="s">
        <v>753</v>
      </c>
      <c r="B104" s="192">
        <f>-ESF!D37</f>
        <v>-10082336241.522816</v>
      </c>
      <c r="C104" s="192">
        <f>-ESF!E37</f>
        <v>-8458809609.982499</v>
      </c>
    </row>
    <row r="105" spans="1:3" ht="15">
      <c r="A105" s="191" t="s">
        <v>754</v>
      </c>
      <c r="B105" s="192">
        <f>+ESF!C37</f>
        <v>11184043967.594465</v>
      </c>
      <c r="C105" s="192">
        <f>+ESF!D37</f>
        <v>10082336241.522816</v>
      </c>
    </row>
    <row r="106" spans="1:3" ht="15">
      <c r="A106" s="191" t="s">
        <v>755</v>
      </c>
      <c r="B106" s="192">
        <f>-ERI!C22</f>
        <v>-2101707726.0716505</v>
      </c>
      <c r="C106" s="192">
        <f>-ERI!D22</f>
        <v>-1623526631.540318</v>
      </c>
    </row>
    <row r="107" spans="2:3" ht="15">
      <c r="B107" s="192"/>
      <c r="C107" s="192"/>
    </row>
    <row r="108" spans="2:3" ht="15">
      <c r="B108" s="192"/>
      <c r="C108" s="192"/>
    </row>
    <row r="109" spans="2:3" ht="15">
      <c r="B109" s="192"/>
      <c r="C109" s="192"/>
    </row>
    <row r="110" spans="2:3" ht="15.75">
      <c r="B110" s="197" t="s">
        <v>225</v>
      </c>
      <c r="C110" s="197" t="s">
        <v>98</v>
      </c>
    </row>
    <row r="111" spans="1:3" ht="15.75">
      <c r="A111" s="193" t="s">
        <v>764</v>
      </c>
      <c r="B111" s="200">
        <f>SUM(B112:B114)</f>
        <v>37563000</v>
      </c>
      <c r="C111" s="200">
        <f>SUM(C112:C114)</f>
        <v>35263000</v>
      </c>
    </row>
    <row r="112" spans="1:3" ht="15">
      <c r="A112" s="191" t="s">
        <v>761</v>
      </c>
      <c r="B112" s="192">
        <f>-ESF!D30</f>
        <v>-401694456.5111759</v>
      </c>
      <c r="C112" s="192">
        <f>-ESF!E30</f>
        <v>-331431456.5111759</v>
      </c>
    </row>
    <row r="113" spans="1:3" ht="15">
      <c r="A113" s="191" t="s">
        <v>762</v>
      </c>
      <c r="B113" s="192">
        <f>+ESF!C30</f>
        <v>439257456.5111759</v>
      </c>
      <c r="C113" s="192">
        <f>+ESF!D30</f>
        <v>401694456.5111759</v>
      </c>
    </row>
    <row r="114" spans="1:3" ht="15">
      <c r="A114" s="191" t="s">
        <v>763</v>
      </c>
      <c r="B114" s="192">
        <f>-'Bal prueba 311216'!E75</f>
        <v>0</v>
      </c>
      <c r="C114" s="192">
        <f>-'Bal prueba 311215'!E76</f>
        <v>-35000000</v>
      </c>
    </row>
    <row r="115" spans="2:3" ht="15">
      <c r="B115" s="192"/>
      <c r="C115" s="192"/>
    </row>
    <row r="116" spans="2:3" ht="15">
      <c r="B116" s="192"/>
      <c r="C116" s="192"/>
    </row>
    <row r="117" spans="2:3" ht="15">
      <c r="B117" s="192"/>
      <c r="C117" s="192"/>
    </row>
    <row r="118" spans="2:3" ht="15">
      <c r="B118" s="192"/>
      <c r="C118" s="192"/>
    </row>
    <row r="119" spans="2:3" ht="15">
      <c r="B119" s="192"/>
      <c r="C119" s="192"/>
    </row>
    <row r="120" spans="2:3" ht="15">
      <c r="B120" s="192"/>
      <c r="C120" s="192"/>
    </row>
    <row r="121" spans="2:3" ht="15">
      <c r="B121" s="192"/>
      <c r="C121" s="192"/>
    </row>
    <row r="122" spans="2:3" ht="15">
      <c r="B122" s="192"/>
      <c r="C122" s="192"/>
    </row>
    <row r="123" spans="2:3" ht="15">
      <c r="B123" s="192"/>
      <c r="C123" s="192"/>
    </row>
    <row r="124" spans="2:3" ht="15">
      <c r="B124" s="192"/>
      <c r="C124" s="192"/>
    </row>
    <row r="125" spans="2:3" ht="15">
      <c r="B125" s="192"/>
      <c r="C125" s="192"/>
    </row>
    <row r="126" spans="2:3" ht="15">
      <c r="B126" s="192"/>
      <c r="C126" s="192"/>
    </row>
    <row r="127" spans="2:3" ht="15">
      <c r="B127" s="192"/>
      <c r="C127" s="192"/>
    </row>
    <row r="128" spans="2:3" ht="15">
      <c r="B128" s="192"/>
      <c r="C128" s="192"/>
    </row>
    <row r="129" spans="2:3" ht="15">
      <c r="B129" s="192"/>
      <c r="C129" s="192"/>
    </row>
    <row r="130" spans="2:3" ht="15">
      <c r="B130" s="192"/>
      <c r="C130" s="192"/>
    </row>
    <row r="131" spans="2:3" ht="15">
      <c r="B131" s="192"/>
      <c r="C131" s="192"/>
    </row>
    <row r="132" spans="2:3" ht="15">
      <c r="B132" s="192"/>
      <c r="C132" s="192"/>
    </row>
    <row r="133" spans="2:3" ht="15">
      <c r="B133" s="192"/>
      <c r="C133" s="192"/>
    </row>
    <row r="134" spans="2:3" ht="15">
      <c r="B134" s="192"/>
      <c r="C134" s="192"/>
    </row>
    <row r="135" spans="2:3" ht="15">
      <c r="B135" s="192"/>
      <c r="C135" s="192"/>
    </row>
    <row r="136" spans="2:3" ht="15">
      <c r="B136" s="192"/>
      <c r="C136" s="192"/>
    </row>
    <row r="137" spans="2:3" ht="15">
      <c r="B137" s="192"/>
      <c r="C137" s="192"/>
    </row>
    <row r="138" spans="2:3" ht="15">
      <c r="B138" s="192"/>
      <c r="C138" s="192"/>
    </row>
    <row r="139" spans="2:3" ht="15">
      <c r="B139" s="192"/>
      <c r="C139" s="192"/>
    </row>
    <row r="140" spans="2:3" ht="15">
      <c r="B140" s="192"/>
      <c r="C140" s="192"/>
    </row>
    <row r="141" spans="2:3" ht="15">
      <c r="B141" s="192"/>
      <c r="C141" s="192"/>
    </row>
    <row r="142" spans="2:3" ht="15">
      <c r="B142" s="192"/>
      <c r="C142" s="192"/>
    </row>
    <row r="143" spans="2:3" ht="15">
      <c r="B143" s="192"/>
      <c r="C143" s="192"/>
    </row>
    <row r="144" spans="2:3" ht="15">
      <c r="B144" s="192"/>
      <c r="C144" s="192"/>
    </row>
    <row r="145" spans="2:3" ht="15">
      <c r="B145" s="192"/>
      <c r="C145" s="192"/>
    </row>
    <row r="146" spans="2:3" ht="15">
      <c r="B146" s="192"/>
      <c r="C146" s="192"/>
    </row>
    <row r="147" spans="2:3" ht="15">
      <c r="B147" s="192"/>
      <c r="C147" s="192"/>
    </row>
    <row r="148" spans="2:3" ht="15">
      <c r="B148" s="192"/>
      <c r="C148" s="192"/>
    </row>
    <row r="149" spans="2:3" ht="15">
      <c r="B149" s="192"/>
      <c r="C149" s="192"/>
    </row>
    <row r="150" spans="2:3" ht="15">
      <c r="B150" s="192"/>
      <c r="C150" s="192"/>
    </row>
    <row r="151" spans="2:3" ht="15">
      <c r="B151" s="192"/>
      <c r="C151" s="192"/>
    </row>
    <row r="152" spans="2:3" ht="15">
      <c r="B152" s="192"/>
      <c r="C152" s="192"/>
    </row>
    <row r="153" spans="2:3" ht="15">
      <c r="B153" s="192"/>
      <c r="C153" s="192"/>
    </row>
    <row r="154" spans="2:3" ht="15">
      <c r="B154" s="192"/>
      <c r="C154" s="192"/>
    </row>
    <row r="155" spans="2:3" ht="15">
      <c r="B155" s="192"/>
      <c r="C155" s="192"/>
    </row>
    <row r="156" spans="2:3" ht="15">
      <c r="B156" s="192"/>
      <c r="C156" s="192"/>
    </row>
    <row r="157" spans="2:3" ht="15">
      <c r="B157" s="192"/>
      <c r="C157" s="192"/>
    </row>
    <row r="158" spans="2:3" ht="15">
      <c r="B158" s="192"/>
      <c r="C158" s="192"/>
    </row>
    <row r="159" spans="2:3" ht="15">
      <c r="B159" s="192"/>
      <c r="C159" s="192"/>
    </row>
    <row r="160" spans="2:3" ht="15">
      <c r="B160" s="192"/>
      <c r="C160" s="192"/>
    </row>
    <row r="161" spans="2:3" ht="15">
      <c r="B161" s="192"/>
      <c r="C161" s="192"/>
    </row>
    <row r="162" spans="2:3" ht="15">
      <c r="B162" s="192"/>
      <c r="C162" s="192"/>
    </row>
    <row r="163" spans="2:3" ht="15">
      <c r="B163" s="192"/>
      <c r="C163" s="192"/>
    </row>
    <row r="164" spans="2:3" ht="15">
      <c r="B164" s="192"/>
      <c r="C164" s="192"/>
    </row>
    <row r="165" spans="2:3" ht="15">
      <c r="B165" s="192"/>
      <c r="C165" s="192"/>
    </row>
    <row r="166" spans="2:3" ht="15">
      <c r="B166" s="192"/>
      <c r="C166" s="192"/>
    </row>
    <row r="167" spans="2:3" ht="15">
      <c r="B167" s="192"/>
      <c r="C167" s="192"/>
    </row>
    <row r="168" spans="2:3" ht="15">
      <c r="B168" s="192"/>
      <c r="C168" s="192"/>
    </row>
    <row r="169" spans="2:3" ht="15">
      <c r="B169" s="192"/>
      <c r="C169" s="192"/>
    </row>
    <row r="170" spans="2:3" ht="15">
      <c r="B170" s="192"/>
      <c r="C170" s="192"/>
    </row>
    <row r="171" spans="2:3" ht="15">
      <c r="B171" s="192"/>
      <c r="C171" s="192"/>
    </row>
    <row r="172" spans="2:3" ht="15">
      <c r="B172" s="192"/>
      <c r="C172" s="192"/>
    </row>
    <row r="173" spans="2:3" ht="15">
      <c r="B173" s="192"/>
      <c r="C173" s="192"/>
    </row>
    <row r="174" spans="2:3" ht="15">
      <c r="B174" s="192"/>
      <c r="C174" s="192"/>
    </row>
    <row r="175" spans="2:3" ht="15">
      <c r="B175" s="192"/>
      <c r="C175" s="192"/>
    </row>
    <row r="176" spans="2:3" ht="15">
      <c r="B176" s="192"/>
      <c r="C176" s="192"/>
    </row>
    <row r="177" spans="2:3" ht="15">
      <c r="B177" s="192"/>
      <c r="C177" s="192"/>
    </row>
    <row r="178" spans="2:3" ht="15">
      <c r="B178" s="192"/>
      <c r="C178" s="192"/>
    </row>
    <row r="179" spans="2:3" ht="15">
      <c r="B179" s="192"/>
      <c r="C179" s="192"/>
    </row>
    <row r="180" spans="2:3" ht="15">
      <c r="B180" s="192"/>
      <c r="C180" s="192"/>
    </row>
    <row r="181" spans="2:3" ht="15">
      <c r="B181" s="192"/>
      <c r="C181" s="192"/>
    </row>
    <row r="182" spans="2:3" ht="15">
      <c r="B182" s="192"/>
      <c r="C182" s="192"/>
    </row>
    <row r="183" spans="2:3" ht="15">
      <c r="B183" s="192"/>
      <c r="C183" s="192"/>
    </row>
    <row r="184" spans="2:3" ht="15">
      <c r="B184" s="192"/>
      <c r="C184" s="192"/>
    </row>
    <row r="185" spans="2:3" ht="15">
      <c r="B185" s="192"/>
      <c r="C185" s="192"/>
    </row>
    <row r="186" spans="2:3" ht="15">
      <c r="B186" s="192"/>
      <c r="C186" s="192"/>
    </row>
    <row r="187" spans="2:3" ht="15">
      <c r="B187" s="192"/>
      <c r="C187" s="192"/>
    </row>
    <row r="188" spans="2:3" ht="15">
      <c r="B188" s="192"/>
      <c r="C188" s="192"/>
    </row>
    <row r="189" spans="2:3" ht="15">
      <c r="B189" s="192"/>
      <c r="C189" s="192"/>
    </row>
    <row r="190" spans="2:3" ht="15">
      <c r="B190" s="192"/>
      <c r="C190" s="192"/>
    </row>
    <row r="191" spans="2:3" ht="15">
      <c r="B191" s="192"/>
      <c r="C191" s="192"/>
    </row>
    <row r="192" spans="2:3" ht="15">
      <c r="B192" s="192"/>
      <c r="C192" s="192"/>
    </row>
    <row r="193" spans="2:3" ht="15">
      <c r="B193" s="192"/>
      <c r="C193" s="192"/>
    </row>
    <row r="194" spans="2:3" ht="15">
      <c r="B194" s="192"/>
      <c r="C194" s="192"/>
    </row>
    <row r="195" spans="2:3" ht="15">
      <c r="B195" s="192"/>
      <c r="C195" s="192"/>
    </row>
    <row r="196" spans="2:3" ht="15">
      <c r="B196" s="192"/>
      <c r="C196" s="192"/>
    </row>
    <row r="197" spans="2:3" ht="15">
      <c r="B197" s="192"/>
      <c r="C197" s="192"/>
    </row>
    <row r="198" spans="2:3" ht="15">
      <c r="B198" s="192"/>
      <c r="C198" s="192"/>
    </row>
    <row r="199" spans="2:3" ht="15">
      <c r="B199" s="192"/>
      <c r="C199" s="192"/>
    </row>
    <row r="200" spans="2:3" ht="15">
      <c r="B200" s="192"/>
      <c r="C200" s="192"/>
    </row>
    <row r="201" spans="2:3" ht="15">
      <c r="B201" s="192"/>
      <c r="C201" s="192"/>
    </row>
    <row r="202" spans="2:3" ht="15">
      <c r="B202" s="192"/>
      <c r="C202" s="192"/>
    </row>
    <row r="203" spans="2:3" ht="15">
      <c r="B203" s="192"/>
      <c r="C203" s="192"/>
    </row>
    <row r="204" spans="2:3" ht="15">
      <c r="B204" s="192"/>
      <c r="C204" s="192"/>
    </row>
    <row r="205" spans="2:3" ht="15">
      <c r="B205" s="192"/>
      <c r="C205" s="192"/>
    </row>
    <row r="206" spans="2:3" ht="15">
      <c r="B206" s="192"/>
      <c r="C206" s="192"/>
    </row>
    <row r="207" spans="2:3" ht="15">
      <c r="B207" s="192"/>
      <c r="C207" s="192"/>
    </row>
    <row r="208" spans="2:3" ht="15">
      <c r="B208" s="192"/>
      <c r="C208" s="192"/>
    </row>
    <row r="209" spans="2:3" ht="15">
      <c r="B209" s="192"/>
      <c r="C209" s="192"/>
    </row>
    <row r="210" spans="2:3" ht="15">
      <c r="B210" s="192"/>
      <c r="C210" s="192"/>
    </row>
    <row r="211" spans="2:3" ht="15">
      <c r="B211" s="192"/>
      <c r="C211" s="192"/>
    </row>
    <row r="212" spans="2:3" ht="15">
      <c r="B212" s="192"/>
      <c r="C212" s="192"/>
    </row>
    <row r="213" spans="2:3" ht="15">
      <c r="B213" s="192"/>
      <c r="C213" s="192"/>
    </row>
    <row r="214" spans="2:3" ht="15">
      <c r="B214" s="192"/>
      <c r="C214" s="192"/>
    </row>
    <row r="215" spans="2:3" ht="15">
      <c r="B215" s="192"/>
      <c r="C215" s="192"/>
    </row>
    <row r="216" spans="2:3" ht="15">
      <c r="B216" s="192"/>
      <c r="C216" s="192"/>
    </row>
    <row r="217" spans="2:3" ht="15">
      <c r="B217" s="192"/>
      <c r="C217" s="192"/>
    </row>
    <row r="218" spans="2:3" ht="15">
      <c r="B218" s="192"/>
      <c r="C218" s="192"/>
    </row>
    <row r="219" spans="2:3" ht="15">
      <c r="B219" s="192"/>
      <c r="C219" s="192"/>
    </row>
    <row r="220" spans="2:3" ht="15">
      <c r="B220" s="192"/>
      <c r="C220" s="192"/>
    </row>
    <row r="221" spans="2:3" ht="15">
      <c r="B221" s="192"/>
      <c r="C221" s="192"/>
    </row>
    <row r="222" spans="2:3" ht="15">
      <c r="B222" s="192"/>
      <c r="C222" s="192"/>
    </row>
    <row r="223" spans="2:3" ht="15">
      <c r="B223" s="192"/>
      <c r="C223" s="192"/>
    </row>
    <row r="224" spans="2:3" ht="15">
      <c r="B224" s="192"/>
      <c r="C224" s="192"/>
    </row>
    <row r="225" spans="2:3" ht="15">
      <c r="B225" s="192"/>
      <c r="C225" s="192"/>
    </row>
    <row r="226" spans="2:3" ht="15">
      <c r="B226" s="192"/>
      <c r="C226" s="192"/>
    </row>
    <row r="227" spans="2:3" ht="15">
      <c r="B227" s="192"/>
      <c r="C227" s="192"/>
    </row>
    <row r="228" spans="2:3" ht="15">
      <c r="B228" s="192"/>
      <c r="C228" s="192"/>
    </row>
    <row r="229" spans="2:3" ht="15">
      <c r="B229" s="192"/>
      <c r="C229" s="192"/>
    </row>
    <row r="230" spans="2:3" ht="15">
      <c r="B230" s="192"/>
      <c r="C230" s="192"/>
    </row>
    <row r="231" spans="2:3" ht="15">
      <c r="B231" s="192"/>
      <c r="C231" s="192"/>
    </row>
    <row r="232" spans="2:3" ht="15">
      <c r="B232" s="192"/>
      <c r="C232" s="192"/>
    </row>
    <row r="233" spans="2:3" ht="15">
      <c r="B233" s="192"/>
      <c r="C233" s="192"/>
    </row>
    <row r="234" spans="2:3" ht="15">
      <c r="B234" s="192"/>
      <c r="C234" s="192"/>
    </row>
    <row r="235" spans="2:3" ht="15">
      <c r="B235" s="192"/>
      <c r="C235" s="192"/>
    </row>
    <row r="236" spans="2:3" ht="15">
      <c r="B236" s="192"/>
      <c r="C236" s="192"/>
    </row>
    <row r="237" spans="2:3" ht="15">
      <c r="B237" s="192"/>
      <c r="C237" s="192"/>
    </row>
    <row r="238" spans="2:3" ht="15">
      <c r="B238" s="192"/>
      <c r="C238" s="192"/>
    </row>
    <row r="239" spans="2:3" ht="15">
      <c r="B239" s="192"/>
      <c r="C239" s="192"/>
    </row>
    <row r="240" spans="2:3" ht="15">
      <c r="B240" s="192"/>
      <c r="C240" s="192"/>
    </row>
    <row r="241" spans="2:3" ht="15">
      <c r="B241" s="192"/>
      <c r="C241" s="192"/>
    </row>
    <row r="242" spans="2:3" ht="15">
      <c r="B242" s="192"/>
      <c r="C242" s="192"/>
    </row>
    <row r="243" spans="2:3" ht="15">
      <c r="B243" s="192"/>
      <c r="C243" s="192"/>
    </row>
    <row r="244" spans="2:3" ht="15">
      <c r="B244" s="192"/>
      <c r="C244" s="192"/>
    </row>
    <row r="245" spans="2:3" ht="15">
      <c r="B245" s="192"/>
      <c r="C245" s="192"/>
    </row>
    <row r="246" spans="2:3" ht="15">
      <c r="B246" s="192"/>
      <c r="C246" s="192"/>
    </row>
    <row r="247" spans="2:3" ht="15">
      <c r="B247" s="192"/>
      <c r="C247" s="192"/>
    </row>
    <row r="248" spans="2:3" ht="15">
      <c r="B248" s="192"/>
      <c r="C248" s="192"/>
    </row>
    <row r="249" spans="2:3" ht="15">
      <c r="B249" s="192"/>
      <c r="C249" s="192"/>
    </row>
    <row r="250" spans="2:3" ht="15">
      <c r="B250" s="192"/>
      <c r="C250" s="192"/>
    </row>
    <row r="251" spans="2:3" ht="15">
      <c r="B251" s="192"/>
      <c r="C251" s="192"/>
    </row>
    <row r="252" spans="2:3" ht="15">
      <c r="B252" s="192"/>
      <c r="C252" s="192"/>
    </row>
    <row r="253" spans="2:3" ht="15">
      <c r="B253" s="192"/>
      <c r="C253" s="192"/>
    </row>
    <row r="254" spans="2:3" ht="15">
      <c r="B254" s="192"/>
      <c r="C254" s="192"/>
    </row>
    <row r="255" spans="2:3" ht="15">
      <c r="B255" s="192"/>
      <c r="C255" s="192"/>
    </row>
    <row r="256" spans="2:3" ht="15">
      <c r="B256" s="192"/>
      <c r="C256" s="192"/>
    </row>
    <row r="257" spans="2:3" ht="15">
      <c r="B257" s="192"/>
      <c r="C257" s="192"/>
    </row>
    <row r="258" spans="2:3" ht="15">
      <c r="B258" s="192"/>
      <c r="C258" s="192"/>
    </row>
    <row r="259" spans="2:3" ht="15">
      <c r="B259" s="192"/>
      <c r="C259" s="192"/>
    </row>
    <row r="260" spans="2:3" ht="15">
      <c r="B260" s="192"/>
      <c r="C260" s="192"/>
    </row>
    <row r="261" spans="2:3" ht="15">
      <c r="B261" s="192"/>
      <c r="C261" s="192"/>
    </row>
    <row r="262" spans="2:3" ht="15">
      <c r="B262" s="192"/>
      <c r="C262" s="192"/>
    </row>
    <row r="263" spans="2:3" ht="15">
      <c r="B263" s="192"/>
      <c r="C263" s="192"/>
    </row>
    <row r="264" spans="2:3" ht="15">
      <c r="B264" s="192"/>
      <c r="C264" s="192"/>
    </row>
    <row r="265" spans="2:3" ht="15">
      <c r="B265" s="192"/>
      <c r="C265" s="192"/>
    </row>
    <row r="266" spans="2:3" ht="15">
      <c r="B266" s="192"/>
      <c r="C266" s="192"/>
    </row>
    <row r="267" spans="2:3" ht="15">
      <c r="B267" s="192"/>
      <c r="C267" s="192"/>
    </row>
    <row r="268" spans="2:3" ht="15">
      <c r="B268" s="192"/>
      <c r="C268" s="192"/>
    </row>
    <row r="269" spans="2:3" ht="15">
      <c r="B269" s="192"/>
      <c r="C269" s="192"/>
    </row>
    <row r="270" spans="2:3" ht="15">
      <c r="B270" s="192"/>
      <c r="C270" s="192"/>
    </row>
    <row r="271" spans="2:3" ht="15">
      <c r="B271" s="192"/>
      <c r="C271" s="192"/>
    </row>
    <row r="272" spans="2:3" ht="15">
      <c r="B272" s="192"/>
      <c r="C272" s="192"/>
    </row>
    <row r="273" spans="2:3" ht="15">
      <c r="B273" s="192"/>
      <c r="C273" s="192"/>
    </row>
    <row r="274" spans="2:3" ht="15">
      <c r="B274" s="192"/>
      <c r="C274" s="192"/>
    </row>
    <row r="275" spans="2:3" ht="15">
      <c r="B275" s="192"/>
      <c r="C275" s="192"/>
    </row>
    <row r="276" spans="2:3" ht="15">
      <c r="B276" s="192"/>
      <c r="C276" s="192"/>
    </row>
    <row r="277" spans="2:3" ht="15">
      <c r="B277" s="192"/>
      <c r="C277" s="192"/>
    </row>
    <row r="278" spans="2:3" ht="15">
      <c r="B278" s="192"/>
      <c r="C278" s="192"/>
    </row>
    <row r="279" spans="2:3" ht="15">
      <c r="B279" s="192"/>
      <c r="C279" s="192"/>
    </row>
    <row r="280" spans="2:3" ht="15">
      <c r="B280" s="192"/>
      <c r="C280" s="192"/>
    </row>
    <row r="281" spans="2:3" ht="15">
      <c r="B281" s="192"/>
      <c r="C281" s="192"/>
    </row>
    <row r="282" spans="2:3" ht="15">
      <c r="B282" s="192"/>
      <c r="C282" s="192"/>
    </row>
    <row r="283" spans="2:3" ht="15">
      <c r="B283" s="192"/>
      <c r="C283" s="192"/>
    </row>
    <row r="284" spans="2:3" ht="15">
      <c r="B284" s="192"/>
      <c r="C284" s="192"/>
    </row>
    <row r="285" spans="2:3" ht="15">
      <c r="B285" s="192"/>
      <c r="C285" s="192"/>
    </row>
    <row r="286" spans="2:3" ht="15">
      <c r="B286" s="192"/>
      <c r="C286" s="192"/>
    </row>
    <row r="287" spans="2:3" ht="15">
      <c r="B287" s="192"/>
      <c r="C287" s="192"/>
    </row>
    <row r="288" spans="2:3" ht="15">
      <c r="B288" s="192"/>
      <c r="C288" s="192"/>
    </row>
    <row r="289" spans="2:3" ht="15">
      <c r="B289" s="192"/>
      <c r="C289" s="192"/>
    </row>
    <row r="290" spans="2:3" ht="15">
      <c r="B290" s="192"/>
      <c r="C290" s="192"/>
    </row>
    <row r="291" spans="2:3" ht="15">
      <c r="B291" s="192"/>
      <c r="C291" s="192"/>
    </row>
    <row r="292" spans="2:3" ht="15">
      <c r="B292" s="192"/>
      <c r="C292" s="192"/>
    </row>
    <row r="293" spans="2:3" ht="15">
      <c r="B293" s="192"/>
      <c r="C293" s="192"/>
    </row>
    <row r="294" spans="2:3" ht="15">
      <c r="B294" s="192"/>
      <c r="C294" s="192"/>
    </row>
    <row r="295" spans="2:3" ht="15">
      <c r="B295" s="192"/>
      <c r="C295" s="192"/>
    </row>
    <row r="296" spans="2:3" ht="15">
      <c r="B296" s="192"/>
      <c r="C296" s="192"/>
    </row>
  </sheetData>
  <sheetProtection/>
  <printOptions/>
  <pageMargins left="0.7" right="0.7" top="0.75" bottom="0.75" header="0.3" footer="0.3"/>
  <pageSetup fitToHeight="0" fitToWidth="1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user</cp:lastModifiedBy>
  <cp:lastPrinted>2016-02-13T11:44:09Z</cp:lastPrinted>
  <dcterms:created xsi:type="dcterms:W3CDTF">2010-08-14T15:22:01Z</dcterms:created>
  <dcterms:modified xsi:type="dcterms:W3CDTF">2016-05-14T16:54:19Z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